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240" windowHeight="7035" firstSheet="17" activeTab="17"/>
  </bookViews>
  <sheets>
    <sheet name="κατά επαρχία και φύλο το 2020" sheetId="1" r:id="rId1"/>
    <sheet name="κατά επαρχία,  μήνα 2019,2020" sheetId="8" r:id="rId2"/>
    <sheet name="κατά φύλο, μήνα 2019,2020" sheetId="4" r:id="rId3"/>
    <sheet name="άνεργοι κατά μήνα 2007-2020" sheetId="6" r:id="rId4"/>
    <sheet name="δικ κατά μήν και κοιν 2019-2020" sheetId="10" r:id="rId5"/>
    <sheet name="δικ, ποσό πληρ. κατά μήνα 12-20" sheetId="5" r:id="rId6"/>
    <sheet name="άνεργοι κατά οικ. δραστ.1.2020" sheetId="11" r:id="rId7"/>
    <sheet name="άνεργοι κατά οικ. δραστ. 2.2020" sheetId="12" r:id="rId8"/>
    <sheet name="άνεργοι κατά οικ. δρστ. 3.2020" sheetId="13" r:id="rId9"/>
    <sheet name="άνεργοι κατά οικ. δραστ. 4.2020" sheetId="14" r:id="rId10"/>
    <sheet name="άνεργοι κατά οικ. δραστ. 5.2020" sheetId="15" r:id="rId11"/>
    <sheet name="άνεργοι κατά οικ. δρ. 6.2020" sheetId="16" r:id="rId12"/>
    <sheet name="άνεργοι κατά οικ. δρ. 7.2020" sheetId="17" r:id="rId13"/>
    <sheet name="άνεργοι κατά οικ. δρ. 8.20" sheetId="18" r:id="rId14"/>
    <sheet name="ανεργοι κατά οικ. δρ.9.20" sheetId="19" r:id="rId15"/>
    <sheet name="ανεργοι κατά οικ. δρ.10.20" sheetId="20" r:id="rId16"/>
    <sheet name="ανεργοι κατά οικ. δρ.11.20" sheetId="21" r:id="rId17"/>
    <sheet name="ανεργοι κατά οικ. δρ.12.20" sheetId="22" r:id="rId18"/>
    <sheet name="Sheet1" sheetId="23" r:id="rId19"/>
  </sheets>
  <definedNames>
    <definedName name="_xlnm._FilterDatabase" localSheetId="5" hidden="1">'δικ, ποσό πληρ. κατά μήνα 12-20'!$J$22:$L$22</definedName>
    <definedName name="_xlnm.Print_Area" localSheetId="5">'δικ, ποσό πληρ. κατά μήνα 12-20'!$A$1:$AS$33</definedName>
    <definedName name="_xlnm.Print_Area" localSheetId="0">'κατά επαρχία και φύλο το 2020'!$A$1:$R$28</definedName>
  </definedNames>
  <calcPr calcId="124519"/>
</workbook>
</file>

<file path=xl/calcChain.xml><?xml version="1.0" encoding="utf-8"?>
<calcChain xmlns="http://schemas.openxmlformats.org/spreadsheetml/2006/main">
  <c r="A30" i="5"/>
  <c r="H30" i="22"/>
  <c r="C31" i="14"/>
  <c r="C30" i="12"/>
  <c r="C30" i="11"/>
  <c r="H7"/>
  <c r="AB20" i="6"/>
  <c r="J25" i="4"/>
  <c r="J23"/>
  <c r="J15"/>
  <c r="H25"/>
  <c r="H23"/>
  <c r="H15"/>
  <c r="K8"/>
  <c r="O24" i="1"/>
  <c r="O22"/>
  <c r="H24" l="1"/>
  <c r="H22"/>
  <c r="O14"/>
  <c r="H14"/>
  <c r="N24" i="8"/>
  <c r="N22"/>
  <c r="N14"/>
  <c r="H24"/>
  <c r="H14"/>
  <c r="R24" i="1"/>
  <c r="R7"/>
  <c r="Q24"/>
  <c r="O17"/>
  <c r="N20"/>
  <c r="N10"/>
  <c r="N14"/>
  <c r="B24"/>
  <c r="D24"/>
  <c r="E24"/>
  <c r="AR20" i="5" l="1"/>
  <c r="AR21" s="1"/>
  <c r="AA12" i="6" l="1"/>
  <c r="AB19"/>
  <c r="M14" i="8"/>
  <c r="M22"/>
  <c r="AA20" i="6"/>
  <c r="AA19"/>
  <c r="I25" i="4"/>
  <c r="K25"/>
  <c r="I23"/>
  <c r="K23"/>
  <c r="G25"/>
  <c r="G23"/>
  <c r="M24" i="8"/>
  <c r="I24"/>
  <c r="J24"/>
  <c r="K24"/>
  <c r="L24"/>
  <c r="I22"/>
  <c r="J22"/>
  <c r="K22"/>
  <c r="L22"/>
  <c r="H22"/>
  <c r="R22" i="1"/>
  <c r="C24"/>
  <c r="F24"/>
  <c r="G24"/>
  <c r="I24"/>
  <c r="J24"/>
  <c r="K24"/>
  <c r="L24"/>
  <c r="M24"/>
  <c r="N24"/>
  <c r="P24"/>
  <c r="I22"/>
  <c r="J22"/>
  <c r="K22"/>
  <c r="L22"/>
  <c r="M22"/>
  <c r="N22"/>
  <c r="P22"/>
  <c r="Q22"/>
  <c r="C22"/>
  <c r="D22"/>
  <c r="E22"/>
  <c r="F22"/>
  <c r="G22"/>
  <c r="B22"/>
  <c r="AB18" i="6"/>
  <c r="AA18"/>
  <c r="K21" i="4"/>
  <c r="G21"/>
  <c r="H21"/>
  <c r="I21"/>
  <c r="J21"/>
  <c r="N20" i="8"/>
  <c r="H20"/>
  <c r="I20"/>
  <c r="J20"/>
  <c r="K20"/>
  <c r="L20"/>
  <c r="AB17" i="6" l="1"/>
  <c r="AA17"/>
  <c r="G20" i="4"/>
  <c r="H20"/>
  <c r="I20"/>
  <c r="K20" s="1"/>
  <c r="J20"/>
  <c r="N19" i="8"/>
  <c r="H19"/>
  <c r="I19"/>
  <c r="J19"/>
  <c r="K19"/>
  <c r="L19"/>
  <c r="M19"/>
  <c r="N19" i="1"/>
  <c r="I19" i="10" l="1"/>
  <c r="J19"/>
  <c r="K19"/>
  <c r="H19"/>
  <c r="H18" i="8"/>
  <c r="M18" s="1"/>
  <c r="N18" s="1"/>
  <c r="I18"/>
  <c r="J18"/>
  <c r="K18"/>
  <c r="L18"/>
  <c r="N18" i="1"/>
  <c r="I19" i="4" s="1"/>
  <c r="K19" s="1"/>
  <c r="AA16" i="6" s="1"/>
  <c r="AB16" s="1"/>
  <c r="P19" i="1"/>
  <c r="R19" s="1"/>
  <c r="H17" i="8"/>
  <c r="M17" s="1"/>
  <c r="N17" s="1"/>
  <c r="I17"/>
  <c r="J17"/>
  <c r="K17"/>
  <c r="L17"/>
  <c r="N17" i="1"/>
  <c r="G23" i="18"/>
  <c r="L14" i="10"/>
  <c r="AQ15" i="5" s="1"/>
  <c r="L15" i="10"/>
  <c r="AQ16" i="5" s="1"/>
  <c r="L16" i="10"/>
  <c r="AQ17" i="5" s="1"/>
  <c r="L17" i="10"/>
  <c r="AQ18" i="5" s="1"/>
  <c r="L18" i="10"/>
  <c r="AQ19" i="5" s="1"/>
  <c r="L13" i="10"/>
  <c r="M13" s="1"/>
  <c r="AS14" i="5" s="1"/>
  <c r="I12" i="10"/>
  <c r="J12"/>
  <c r="K12"/>
  <c r="H12"/>
  <c r="L9"/>
  <c r="AQ10" i="5" s="1"/>
  <c r="L10" i="10"/>
  <c r="AQ11" i="5" s="1"/>
  <c r="L11" i="10"/>
  <c r="M11" s="1"/>
  <c r="AS12" i="5" s="1"/>
  <c r="H16" i="8"/>
  <c r="M16" s="1"/>
  <c r="N16" s="1"/>
  <c r="I16"/>
  <c r="J16"/>
  <c r="K16"/>
  <c r="L16"/>
  <c r="N16" i="1"/>
  <c r="P16" s="1"/>
  <c r="G19" i="17"/>
  <c r="G18"/>
  <c r="G20"/>
  <c r="M20" i="8"/>
  <c r="L15"/>
  <c r="K15"/>
  <c r="J15"/>
  <c r="I15"/>
  <c r="M15" s="1"/>
  <c r="N15" s="1"/>
  <c r="H15"/>
  <c r="N15" i="1"/>
  <c r="P15" s="1"/>
  <c r="G16"/>
  <c r="G17" i="4" s="1"/>
  <c r="G17" i="1"/>
  <c r="G18" i="4" s="1"/>
  <c r="G18" i="1"/>
  <c r="G19" i="4" s="1"/>
  <c r="G19" i="1"/>
  <c r="G20"/>
  <c r="P20" s="1"/>
  <c r="O20" s="1"/>
  <c r="G15"/>
  <c r="G16" i="4" s="1"/>
  <c r="B14" i="1"/>
  <c r="C14"/>
  <c r="D14"/>
  <c r="E14"/>
  <c r="F14"/>
  <c r="J14"/>
  <c r="K14"/>
  <c r="L14"/>
  <c r="M14"/>
  <c r="L12" i="8"/>
  <c r="K12"/>
  <c r="J12"/>
  <c r="I12"/>
  <c r="H12"/>
  <c r="M12" s="1"/>
  <c r="N12" s="1"/>
  <c r="Q14" i="1"/>
  <c r="N12"/>
  <c r="I13" i="4" s="1"/>
  <c r="I20" i="10" l="1"/>
  <c r="H20"/>
  <c r="K20"/>
  <c r="J20"/>
  <c r="O19" i="1"/>
  <c r="H19"/>
  <c r="K16" i="4"/>
  <c r="AA13" i="6" s="1"/>
  <c r="AB13" s="1"/>
  <c r="R15" i="1"/>
  <c r="O15"/>
  <c r="J16" i="4" s="1"/>
  <c r="R20" i="1"/>
  <c r="H20"/>
  <c r="M15" i="10"/>
  <c r="AS16" i="5" s="1"/>
  <c r="P17" i="1"/>
  <c r="I16" i="4"/>
  <c r="O16" i="1"/>
  <c r="J17" i="4" s="1"/>
  <c r="J18"/>
  <c r="I17"/>
  <c r="K17" s="1"/>
  <c r="AA14" i="6" s="1"/>
  <c r="AB14" s="1"/>
  <c r="H15" i="1"/>
  <c r="H16" i="4" s="1"/>
  <c r="P18" i="1"/>
  <c r="O18" s="1"/>
  <c r="J19" i="4" s="1"/>
  <c r="L19" i="10"/>
  <c r="M19" s="1"/>
  <c r="I18" i="4"/>
  <c r="K18" s="1"/>
  <c r="AA15" i="6" s="1"/>
  <c r="AB15" s="1"/>
  <c r="M18" i="10"/>
  <c r="AS19" i="5" s="1"/>
  <c r="M17" i="10"/>
  <c r="AS18" i="5" s="1"/>
  <c r="M16" i="10"/>
  <c r="AS17" i="5" s="1"/>
  <c r="M14" i="10"/>
  <c r="AS15" i="5" s="1"/>
  <c r="AQ14"/>
  <c r="AQ20" s="1"/>
  <c r="AS20" s="1"/>
  <c r="AQ12"/>
  <c r="M10" i="10"/>
  <c r="AS11" i="5" s="1"/>
  <c r="M9" i="10"/>
  <c r="AS10" i="5" s="1"/>
  <c r="H16" i="1"/>
  <c r="H17" i="4" s="1"/>
  <c r="R16" i="1"/>
  <c r="AR13" i="5"/>
  <c r="L8" i="10"/>
  <c r="AQ9" i="5" s="1"/>
  <c r="F29" i="15"/>
  <c r="F23"/>
  <c r="F22"/>
  <c r="F18"/>
  <c r="F16"/>
  <c r="F14"/>
  <c r="G12" i="4"/>
  <c r="K12" s="1"/>
  <c r="AA10" i="6" s="1"/>
  <c r="AB10" s="1"/>
  <c r="L11" i="8"/>
  <c r="K11"/>
  <c r="J11"/>
  <c r="I11"/>
  <c r="H11"/>
  <c r="M11" s="1"/>
  <c r="N11" s="1"/>
  <c r="N11" i="1"/>
  <c r="I12" i="4" s="1"/>
  <c r="G11" i="1"/>
  <c r="P11" s="1"/>
  <c r="R11" l="1"/>
  <c r="H11"/>
  <c r="H12" i="4" s="1"/>
  <c r="R18" i="1"/>
  <c r="H18"/>
  <c r="H19" i="4" s="1"/>
  <c r="O11" i="1"/>
  <c r="J12" i="4" s="1"/>
  <c r="H17" i="1"/>
  <c r="H18" i="4" s="1"/>
  <c r="R17" i="1"/>
  <c r="M8" i="10"/>
  <c r="AS9" i="5" s="1"/>
  <c r="F29" i="14"/>
  <c r="F23"/>
  <c r="F22"/>
  <c r="F21"/>
  <c r="F20"/>
  <c r="F18"/>
  <c r="F16"/>
  <c r="F14"/>
  <c r="F13"/>
  <c r="L10" i="8"/>
  <c r="K10"/>
  <c r="J10"/>
  <c r="I10"/>
  <c r="I10" i="1"/>
  <c r="I14" s="1"/>
  <c r="G10"/>
  <c r="F28" i="13"/>
  <c r="F22"/>
  <c r="F21"/>
  <c r="F20"/>
  <c r="F19"/>
  <c r="F18"/>
  <c r="F17"/>
  <c r="F15"/>
  <c r="F13"/>
  <c r="F12"/>
  <c r="F28" i="12"/>
  <c r="F24"/>
  <c r="F22"/>
  <c r="F21"/>
  <c r="F20"/>
  <c r="F19"/>
  <c r="F18"/>
  <c r="F17"/>
  <c r="F15"/>
  <c r="F13"/>
  <c r="F12"/>
  <c r="F9"/>
  <c r="L9" i="8"/>
  <c r="K9"/>
  <c r="J9"/>
  <c r="I9"/>
  <c r="H9"/>
  <c r="M9" s="1"/>
  <c r="N9" s="1"/>
  <c r="L8"/>
  <c r="K8"/>
  <c r="J8"/>
  <c r="I8"/>
  <c r="H8"/>
  <c r="M8" s="1"/>
  <c r="N8" s="1"/>
  <c r="N9" i="1"/>
  <c r="I10" i="4" s="1"/>
  <c r="G9" i="1"/>
  <c r="G10" i="4" s="1"/>
  <c r="K10" s="1"/>
  <c r="AA8" i="6" s="1"/>
  <c r="AB8" s="1"/>
  <c r="P10" i="1" l="1"/>
  <c r="R10" s="1"/>
  <c r="H10"/>
  <c r="H11" i="4" s="1"/>
  <c r="G11"/>
  <c r="P9" i="1"/>
  <c r="R9" s="1"/>
  <c r="H9"/>
  <c r="H10" i="4" s="1"/>
  <c r="O9" i="1"/>
  <c r="J10" i="4" s="1"/>
  <c r="H10" i="8"/>
  <c r="M10" s="1"/>
  <c r="N10" s="1"/>
  <c r="N8" i="1"/>
  <c r="I9" i="4" s="1"/>
  <c r="G8" i="1"/>
  <c r="G9" i="4" s="1"/>
  <c r="K9" s="1"/>
  <c r="AA7" i="6" s="1"/>
  <c r="AB7" s="1"/>
  <c r="F28" i="11"/>
  <c r="F24"/>
  <c r="F21"/>
  <c r="F20"/>
  <c r="F19"/>
  <c r="F18"/>
  <c r="F17"/>
  <c r="F15"/>
  <c r="F11"/>
  <c r="A29" i="8"/>
  <c r="H7"/>
  <c r="P8" i="1" l="1"/>
  <c r="H8"/>
  <c r="H9" i="4" s="1"/>
  <c r="I11"/>
  <c r="K11" s="1"/>
  <c r="AA9" i="6" s="1"/>
  <c r="AB9" s="1"/>
  <c r="O10" i="1"/>
  <c r="J11" i="4" s="1"/>
  <c r="L7" i="10"/>
  <c r="L6"/>
  <c r="M6" s="1"/>
  <c r="E30" i="21"/>
  <c r="D30"/>
  <c r="C30"/>
  <c r="G29"/>
  <c r="G28"/>
  <c r="G27"/>
  <c r="G26"/>
  <c r="G25"/>
  <c r="G24"/>
  <c r="G23"/>
  <c r="G22"/>
  <c r="G21"/>
  <c r="G20"/>
  <c r="G19"/>
  <c r="G18"/>
  <c r="G17"/>
  <c r="G16"/>
  <c r="G15"/>
  <c r="G14"/>
  <c r="G12"/>
  <c r="G11"/>
  <c r="G10"/>
  <c r="G9"/>
  <c r="G8"/>
  <c r="F30"/>
  <c r="G7"/>
  <c r="L12" i="10" l="1"/>
  <c r="R8" i="1"/>
  <c r="O8"/>
  <c r="J9" i="4" s="1"/>
  <c r="M7" i="10"/>
  <c r="AS8" i="5" s="1"/>
  <c r="AQ8"/>
  <c r="AS7"/>
  <c r="AQ7"/>
  <c r="G13" i="21"/>
  <c r="M12" i="10" l="1"/>
  <c r="L20"/>
  <c r="M20" s="1"/>
  <c r="AQ13" i="5"/>
  <c r="G30" i="21"/>
  <c r="H13" s="1"/>
  <c r="AQ21" i="5" l="1"/>
  <c r="AS21" s="1"/>
  <c r="AS13"/>
  <c r="H21" i="21"/>
  <c r="H29"/>
  <c r="H17"/>
  <c r="H9"/>
  <c r="H25"/>
  <c r="H8"/>
  <c r="H7"/>
  <c r="H11"/>
  <c r="H19"/>
  <c r="H26"/>
  <c r="H16"/>
  <c r="H27"/>
  <c r="H10"/>
  <c r="H22"/>
  <c r="H28"/>
  <c r="H23"/>
  <c r="H24"/>
  <c r="H18"/>
  <c r="H12"/>
  <c r="H15"/>
  <c r="H20"/>
  <c r="H14"/>
  <c r="G9" i="13" l="1"/>
  <c r="G10"/>
  <c r="G11"/>
  <c r="G12"/>
  <c r="C30"/>
  <c r="L7" i="8" l="1"/>
  <c r="L14" s="1"/>
  <c r="K7"/>
  <c r="K14" s="1"/>
  <c r="J7"/>
  <c r="J14" s="1"/>
  <c r="I7"/>
  <c r="I14" s="1"/>
  <c r="M7" l="1"/>
  <c r="N7" l="1"/>
  <c r="H6" i="6" l="1"/>
  <c r="G7"/>
  <c r="G12" s="1"/>
  <c r="H8"/>
  <c r="G9"/>
  <c r="H9"/>
  <c r="H10"/>
  <c r="H11"/>
  <c r="B12"/>
  <c r="C12"/>
  <c r="D12"/>
  <c r="E12"/>
  <c r="F12"/>
  <c r="I12"/>
  <c r="J12"/>
  <c r="K12"/>
  <c r="G13"/>
  <c r="H13"/>
  <c r="H14"/>
  <c r="H15"/>
  <c r="G16"/>
  <c r="H16"/>
  <c r="F17"/>
  <c r="F18"/>
  <c r="H18"/>
  <c r="B19"/>
  <c r="C19"/>
  <c r="D19"/>
  <c r="E19"/>
  <c r="I19"/>
  <c r="J19"/>
  <c r="K19"/>
  <c r="B20"/>
  <c r="C20"/>
  <c r="D20"/>
  <c r="E20"/>
  <c r="I20"/>
  <c r="J20"/>
  <c r="K20"/>
  <c r="F20" l="1"/>
  <c r="G20"/>
  <c r="F19"/>
  <c r="H19"/>
  <c r="H20"/>
  <c r="G19"/>
  <c r="H12"/>
  <c r="D30" i="11"/>
  <c r="F30" i="20" l="1"/>
  <c r="C30" i="19" l="1"/>
  <c r="F30" i="17" l="1"/>
  <c r="E30" i="16" l="1"/>
  <c r="F30" l="1"/>
  <c r="Y21" i="5" l="1"/>
  <c r="Y20"/>
  <c r="D30" i="13" l="1"/>
  <c r="G28" i="20" l="1"/>
  <c r="E30" i="17" l="1"/>
  <c r="V20" i="5" l="1"/>
  <c r="AA20" s="1"/>
  <c r="D31" i="15" l="1"/>
  <c r="G10" i="14"/>
  <c r="D31"/>
  <c r="G8"/>
  <c r="T20" i="6" l="1"/>
  <c r="U20"/>
  <c r="U19" l="1"/>
  <c r="U12"/>
  <c r="D30" i="20" l="1"/>
  <c r="G9" i="19" l="1"/>
  <c r="C31" i="18" l="1"/>
  <c r="G9" i="14" l="1"/>
  <c r="G11"/>
  <c r="G12"/>
  <c r="G18"/>
  <c r="G19"/>
  <c r="G20"/>
  <c r="G22"/>
  <c r="G23"/>
  <c r="G24"/>
  <c r="G25"/>
  <c r="G26"/>
  <c r="G27"/>
  <c r="G28"/>
  <c r="G30"/>
  <c r="G29"/>
  <c r="G21"/>
  <c r="G17"/>
  <c r="G16"/>
  <c r="G15"/>
  <c r="G14"/>
  <c r="G13"/>
  <c r="G31" l="1"/>
  <c r="H30" s="1"/>
  <c r="P13" i="5"/>
  <c r="Q13"/>
  <c r="P20"/>
  <c r="Q20"/>
  <c r="P21"/>
  <c r="E30" i="22"/>
  <c r="D30"/>
  <c r="C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F30"/>
  <c r="G8"/>
  <c r="G7"/>
  <c r="W13" i="5"/>
  <c r="A29" i="4"/>
  <c r="A25" i="6" s="1"/>
  <c r="W20" i="5"/>
  <c r="E30" i="20"/>
  <c r="C30"/>
  <c r="G29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30" i="19"/>
  <c r="E30"/>
  <c r="D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8"/>
  <c r="G7"/>
  <c r="F31" i="18"/>
  <c r="E31"/>
  <c r="D31"/>
  <c r="G30"/>
  <c r="G29"/>
  <c r="G28"/>
  <c r="G27"/>
  <c r="G26"/>
  <c r="G25"/>
  <c r="G24"/>
  <c r="G22"/>
  <c r="G21"/>
  <c r="G20"/>
  <c r="G19"/>
  <c r="G18"/>
  <c r="G17"/>
  <c r="G16"/>
  <c r="G15"/>
  <c r="G14"/>
  <c r="G13"/>
  <c r="G12"/>
  <c r="G11"/>
  <c r="G10"/>
  <c r="G9"/>
  <c r="G8"/>
  <c r="D30" i="17"/>
  <c r="C30"/>
  <c r="G29"/>
  <c r="G28"/>
  <c r="G27"/>
  <c r="G26"/>
  <c r="G25"/>
  <c r="G24"/>
  <c r="G23"/>
  <c r="G22"/>
  <c r="G21"/>
  <c r="G17"/>
  <c r="G16"/>
  <c r="G15"/>
  <c r="G14"/>
  <c r="G13"/>
  <c r="G12"/>
  <c r="G11"/>
  <c r="G10"/>
  <c r="G9"/>
  <c r="G8"/>
  <c r="G7"/>
  <c r="D30" i="16"/>
  <c r="C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T12" i="6"/>
  <c r="G30" i="15"/>
  <c r="F31"/>
  <c r="C31"/>
  <c r="G29"/>
  <c r="G28"/>
  <c r="G27"/>
  <c r="G26"/>
  <c r="G25"/>
  <c r="G24"/>
  <c r="G23"/>
  <c r="G22"/>
  <c r="G21"/>
  <c r="G20"/>
  <c r="G19"/>
  <c r="G18"/>
  <c r="G17"/>
  <c r="E31"/>
  <c r="G15"/>
  <c r="G14"/>
  <c r="G13"/>
  <c r="G12"/>
  <c r="G11"/>
  <c r="G10"/>
  <c r="G9"/>
  <c r="G8"/>
  <c r="U19" i="5"/>
  <c r="S21"/>
  <c r="S20"/>
  <c r="F31" i="14"/>
  <c r="F30" i="13"/>
  <c r="G29"/>
  <c r="G28"/>
  <c r="G27"/>
  <c r="G26"/>
  <c r="G25"/>
  <c r="G24"/>
  <c r="G23"/>
  <c r="G22"/>
  <c r="G21"/>
  <c r="G20"/>
  <c r="G19"/>
  <c r="G18"/>
  <c r="G17"/>
  <c r="G16"/>
  <c r="G15"/>
  <c r="E30"/>
  <c r="G14"/>
  <c r="G13"/>
  <c r="G8"/>
  <c r="G7"/>
  <c r="F30" i="12"/>
  <c r="G29"/>
  <c r="G28"/>
  <c r="G27"/>
  <c r="G26"/>
  <c r="G25"/>
  <c r="G24"/>
  <c r="G23"/>
  <c r="G22"/>
  <c r="G21"/>
  <c r="G20"/>
  <c r="G19"/>
  <c r="G18"/>
  <c r="G17"/>
  <c r="G16"/>
  <c r="E30"/>
  <c r="D30"/>
  <c r="G14"/>
  <c r="G13"/>
  <c r="G12"/>
  <c r="G11"/>
  <c r="G10"/>
  <c r="G9"/>
  <c r="G8"/>
  <c r="G7"/>
  <c r="U18" i="5"/>
  <c r="U17"/>
  <c r="U16"/>
  <c r="U15"/>
  <c r="U14"/>
  <c r="F30" i="11"/>
  <c r="E30"/>
  <c r="S20" i="6"/>
  <c r="S19"/>
  <c r="U12" i="5"/>
  <c r="U11"/>
  <c r="S13"/>
  <c r="G29" i="11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S12" i="6"/>
  <c r="U10" i="5"/>
  <c r="U9"/>
  <c r="U8"/>
  <c r="U7"/>
  <c r="R19"/>
  <c r="R18"/>
  <c r="R17"/>
  <c r="T20"/>
  <c r="T13"/>
  <c r="L20" i="6"/>
  <c r="L19"/>
  <c r="L12"/>
  <c r="R16" i="5"/>
  <c r="R15"/>
  <c r="R14"/>
  <c r="R19" i="6"/>
  <c r="R20"/>
  <c r="H13" i="5"/>
  <c r="F13"/>
  <c r="D13"/>
  <c r="B13"/>
  <c r="E20"/>
  <c r="D20"/>
  <c r="E13"/>
  <c r="M21"/>
  <c r="M20"/>
  <c r="M13"/>
  <c r="J13"/>
  <c r="Q20" i="6"/>
  <c r="P20"/>
  <c r="O20"/>
  <c r="N20"/>
  <c r="M20"/>
  <c r="M19"/>
  <c r="Q19"/>
  <c r="P19"/>
  <c r="O19"/>
  <c r="N19"/>
  <c r="R12"/>
  <c r="Q12"/>
  <c r="P12"/>
  <c r="O12"/>
  <c r="N12"/>
  <c r="M12"/>
  <c r="R12" i="5"/>
  <c r="R11"/>
  <c r="R10"/>
  <c r="R9"/>
  <c r="R8"/>
  <c r="R7"/>
  <c r="L7"/>
  <c r="L8"/>
  <c r="L9"/>
  <c r="L10"/>
  <c r="L11"/>
  <c r="L12"/>
  <c r="I13"/>
  <c r="K13"/>
  <c r="L14"/>
  <c r="L15"/>
  <c r="L16"/>
  <c r="L17"/>
  <c r="L18"/>
  <c r="L19"/>
  <c r="H20"/>
  <c r="I20"/>
  <c r="J20"/>
  <c r="K20"/>
  <c r="H21"/>
  <c r="J21"/>
  <c r="O19"/>
  <c r="O18"/>
  <c r="O17"/>
  <c r="O16"/>
  <c r="O15"/>
  <c r="O14"/>
  <c r="O12"/>
  <c r="O11"/>
  <c r="N13"/>
  <c r="O10"/>
  <c r="O9"/>
  <c r="O8"/>
  <c r="N7" i="1"/>
  <c r="O7" i="5"/>
  <c r="N20"/>
  <c r="C13"/>
  <c r="G13"/>
  <c r="B20"/>
  <c r="C20"/>
  <c r="F20"/>
  <c r="G20"/>
  <c r="G21" s="1"/>
  <c r="G7" i="1"/>
  <c r="G15" i="12"/>
  <c r="E31" i="14"/>
  <c r="G16" i="15"/>
  <c r="G8" i="4" l="1"/>
  <c r="I8"/>
  <c r="I15" s="1"/>
  <c r="L20" i="5"/>
  <c r="O20"/>
  <c r="L13"/>
  <c r="K21"/>
  <c r="I21"/>
  <c r="E21"/>
  <c r="O21"/>
  <c r="G30" i="17"/>
  <c r="H7" s="1"/>
  <c r="U13" i="5"/>
  <c r="G31" i="18"/>
  <c r="H10" s="1"/>
  <c r="W21" i="5"/>
  <c r="G31" i="15"/>
  <c r="H10" s="1"/>
  <c r="L21" i="5"/>
  <c r="O13"/>
  <c r="D21"/>
  <c r="G30" i="22"/>
  <c r="H27" s="1"/>
  <c r="G30" i="13"/>
  <c r="H14" s="1"/>
  <c r="Q21" i="5"/>
  <c r="T19" i="6"/>
  <c r="G30" i="20"/>
  <c r="H7" s="1"/>
  <c r="G30" i="19"/>
  <c r="H7" s="1"/>
  <c r="G30" i="16"/>
  <c r="H8" s="1"/>
  <c r="N21" i="5"/>
  <c r="T21"/>
  <c r="R13"/>
  <c r="H18" i="14"/>
  <c r="H10"/>
  <c r="H26"/>
  <c r="H13"/>
  <c r="H21"/>
  <c r="H29"/>
  <c r="H12"/>
  <c r="H20"/>
  <c r="H28"/>
  <c r="H15"/>
  <c r="H14"/>
  <c r="H22"/>
  <c r="H9"/>
  <c r="H17"/>
  <c r="H25"/>
  <c r="H8"/>
  <c r="H16"/>
  <c r="H24"/>
  <c r="H11"/>
  <c r="H19"/>
  <c r="H23"/>
  <c r="H27"/>
  <c r="F21" i="5"/>
  <c r="B21"/>
  <c r="V21"/>
  <c r="AA21" s="1"/>
  <c r="P7" i="1"/>
  <c r="G30" i="11"/>
  <c r="H30" s="1"/>
  <c r="G30" i="12"/>
  <c r="H8" s="1"/>
  <c r="V13" i="5"/>
  <c r="X20"/>
  <c r="C21"/>
  <c r="R21"/>
  <c r="U20"/>
  <c r="R20"/>
  <c r="U21"/>
  <c r="O7" i="1" l="1"/>
  <c r="J8" i="4" s="1"/>
  <c r="H13" i="17"/>
  <c r="H29" i="18"/>
  <c r="H28"/>
  <c r="H15"/>
  <c r="H13"/>
  <c r="H21"/>
  <c r="H20"/>
  <c r="H22"/>
  <c r="H23"/>
  <c r="H30"/>
  <c r="H14"/>
  <c r="H12"/>
  <c r="H25"/>
  <c r="H17"/>
  <c r="H9"/>
  <c r="H24"/>
  <c r="H16"/>
  <c r="H8"/>
  <c r="H27"/>
  <c r="H19"/>
  <c r="H11"/>
  <c r="H26"/>
  <c r="H18"/>
  <c r="H22" i="17"/>
  <c r="H14"/>
  <c r="H29"/>
  <c r="H21"/>
  <c r="H20"/>
  <c r="H27"/>
  <c r="H11"/>
  <c r="H13" i="13"/>
  <c r="H26" i="17"/>
  <c r="H18"/>
  <c r="H10"/>
  <c r="H25"/>
  <c r="H17"/>
  <c r="H9"/>
  <c r="H28"/>
  <c r="H12"/>
  <c r="H19"/>
  <c r="H24"/>
  <c r="H16"/>
  <c r="H8"/>
  <c r="H23"/>
  <c r="H15"/>
  <c r="H15" i="15"/>
  <c r="H23"/>
  <c r="H8"/>
  <c r="H18"/>
  <c r="H22"/>
  <c r="H29"/>
  <c r="H11"/>
  <c r="H24"/>
  <c r="H9"/>
  <c r="H21"/>
  <c r="H13"/>
  <c r="H16"/>
  <c r="H12"/>
  <c r="H25"/>
  <c r="H14"/>
  <c r="H28"/>
  <c r="H27"/>
  <c r="H19"/>
  <c r="H26"/>
  <c r="H17"/>
  <c r="H30"/>
  <c r="H20"/>
  <c r="H25" i="22"/>
  <c r="H29" i="13"/>
  <c r="H19"/>
  <c r="H16"/>
  <c r="H8"/>
  <c r="H7" i="1"/>
  <c r="H8" i="4" s="1"/>
  <c r="H25" i="13"/>
  <c r="H27"/>
  <c r="H22"/>
  <c r="H15"/>
  <c r="H20"/>
  <c r="H10"/>
  <c r="H17"/>
  <c r="H23"/>
  <c r="H24"/>
  <c r="H28"/>
  <c r="H9"/>
  <c r="H12"/>
  <c r="H21"/>
  <c r="H26"/>
  <c r="H18"/>
  <c r="H7"/>
  <c r="H11"/>
  <c r="H12" i="22"/>
  <c r="H24"/>
  <c r="H20"/>
  <c r="H16"/>
  <c r="H23"/>
  <c r="H9"/>
  <c r="H14"/>
  <c r="H18"/>
  <c r="H28"/>
  <c r="H11"/>
  <c r="H19"/>
  <c r="H22"/>
  <c r="H15"/>
  <c r="H21"/>
  <c r="H7"/>
  <c r="H29"/>
  <c r="H26"/>
  <c r="H13"/>
  <c r="H8"/>
  <c r="H17"/>
  <c r="H10"/>
  <c r="X13" i="5"/>
  <c r="H28" i="20"/>
  <c r="H24"/>
  <c r="H26"/>
  <c r="H22"/>
  <c r="H14"/>
  <c r="H18"/>
  <c r="H10"/>
  <c r="H25"/>
  <c r="H17"/>
  <c r="H9"/>
  <c r="H20"/>
  <c r="H16"/>
  <c r="H12"/>
  <c r="H8"/>
  <c r="H29"/>
  <c r="H21"/>
  <c r="H13"/>
  <c r="H27"/>
  <c r="H23"/>
  <c r="H19"/>
  <c r="H15"/>
  <c r="H11"/>
  <c r="H28" i="19"/>
  <c r="H24"/>
  <c r="H20"/>
  <c r="H26"/>
  <c r="H22"/>
  <c r="H16"/>
  <c r="H8"/>
  <c r="H12"/>
  <c r="H27"/>
  <c r="H23"/>
  <c r="H18"/>
  <c r="H14"/>
  <c r="H10"/>
  <c r="H29"/>
  <c r="H25"/>
  <c r="H15"/>
  <c r="H19"/>
  <c r="H11"/>
  <c r="H21"/>
  <c r="H17"/>
  <c r="H13"/>
  <c r="H9"/>
  <c r="H27" i="16"/>
  <c r="H23"/>
  <c r="H29"/>
  <c r="H25"/>
  <c r="H19"/>
  <c r="H21"/>
  <c r="H15"/>
  <c r="H17"/>
  <c r="H13"/>
  <c r="H7"/>
  <c r="H11"/>
  <c r="H22"/>
  <c r="H26"/>
  <c r="H18"/>
  <c r="H9"/>
  <c r="H28"/>
  <c r="H24"/>
  <c r="H20"/>
  <c r="H14"/>
  <c r="H16"/>
  <c r="H12"/>
  <c r="H10"/>
  <c r="H31" i="14"/>
  <c r="X21" i="5"/>
  <c r="H29" i="11"/>
  <c r="H17"/>
  <c r="H25"/>
  <c r="H26"/>
  <c r="H21"/>
  <c r="H13"/>
  <c r="H14"/>
  <c r="H9"/>
  <c r="H22"/>
  <c r="H18"/>
  <c r="H10"/>
  <c r="H23"/>
  <c r="H27"/>
  <c r="H15"/>
  <c r="H19"/>
  <c r="H28"/>
  <c r="H11"/>
  <c r="H20"/>
  <c r="H12"/>
  <c r="H24"/>
  <c r="H16"/>
  <c r="H8"/>
  <c r="H28" i="12"/>
  <c r="H24"/>
  <c r="H20"/>
  <c r="H16"/>
  <c r="H11"/>
  <c r="H7"/>
  <c r="H27"/>
  <c r="H23"/>
  <c r="H19"/>
  <c r="H14"/>
  <c r="H10"/>
  <c r="H15"/>
  <c r="H26"/>
  <c r="H22"/>
  <c r="H18"/>
  <c r="H13"/>
  <c r="H9"/>
  <c r="H29"/>
  <c r="H25"/>
  <c r="H21"/>
  <c r="H17"/>
  <c r="H12"/>
  <c r="AA6" i="6" l="1"/>
  <c r="H31" i="18"/>
  <c r="H30" i="17"/>
  <c r="H31" i="15"/>
  <c r="H30" i="13"/>
  <c r="H30" i="21"/>
  <c r="H30" i="20"/>
  <c r="H30" i="19"/>
  <c r="H30" i="16"/>
  <c r="H30" i="12"/>
  <c r="G12" i="1"/>
  <c r="AB6" i="6" l="1"/>
  <c r="G13" i="4"/>
  <c r="G14" i="1"/>
  <c r="P12"/>
  <c r="K13" i="4" l="1"/>
  <c r="G15"/>
  <c r="O12" i="1"/>
  <c r="J13" i="4" s="1"/>
  <c r="R12" i="1"/>
  <c r="P14"/>
  <c r="R14" s="1"/>
  <c r="H12"/>
  <c r="H13" i="4" s="1"/>
  <c r="AA11" i="6" l="1"/>
  <c r="K15" i="4"/>
  <c r="AB11" i="6" l="1"/>
  <c r="AB12"/>
</calcChain>
</file>

<file path=xl/sharedStrings.xml><?xml version="1.0" encoding="utf-8"?>
<sst xmlns="http://schemas.openxmlformats.org/spreadsheetml/2006/main" count="721" uniqueCount="156">
  <si>
    <t>ΜΗΝΑΣ</t>
  </si>
  <si>
    <t>ΛΕΥΚΩΣΙΑ</t>
  </si>
  <si>
    <t>ΛΑΡΝΑΚΑ</t>
  </si>
  <si>
    <t>ΠΑΡΑΛΙΜΝΙ</t>
  </si>
  <si>
    <t>ΛΕΜΕΣΟΣ</t>
  </si>
  <si>
    <t>ΠΑΦΟΣ</t>
  </si>
  <si>
    <t>ΣΥΝΟΛΟ</t>
  </si>
  <si>
    <t>ΑΥΓΟΥΣΤΟΣ</t>
  </si>
  <si>
    <t>ΑΝΔΡΕΣ</t>
  </si>
  <si>
    <t>ΓΥΝΑΙΚΕΣ</t>
  </si>
  <si>
    <t>ΠΟΣΟΣΤΟ</t>
  </si>
  <si>
    <t xml:space="preserve"> ΥΠΗΡΕΣΙΕΣ ΚΟΙΝΩΝΙΚΩΝ ΑΣΦΑΛΙΣΕΩΝ</t>
  </si>
  <si>
    <t>ΚΛΑΔΟΣ ΣΤΑΤΙΣΤΙΚΗΣ</t>
  </si>
  <si>
    <t>Μ Η Ν Α Σ</t>
  </si>
  <si>
    <t>ΑΡΙΘΜΟΣ</t>
  </si>
  <si>
    <t>ΠΟΣΟ ΠΟΥ</t>
  </si>
  <si>
    <t>ΠΡΟΣΩΠΩΝ</t>
  </si>
  <si>
    <t>ΠΛΗΡΩΘΗΚΕ</t>
  </si>
  <si>
    <t>12356*</t>
  </si>
  <si>
    <t>ΙΑΝΟΥΑΡΙΟΣ</t>
  </si>
  <si>
    <t>ΦΕΒΡΟΥΑΡΙΟΣ</t>
  </si>
  <si>
    <t>ΜΑΡΤΙΟΣ</t>
  </si>
  <si>
    <t>ΑΠΡΙΛΙΟΣ</t>
  </si>
  <si>
    <t>ΜΑΪΟΣ</t>
  </si>
  <si>
    <t>ΙΟΥΝΙΟΣ</t>
  </si>
  <si>
    <t>ΙΟΥΛΙΟΣ</t>
  </si>
  <si>
    <t>ΣΕΠΤΕΜΒΡΙΟΣ</t>
  </si>
  <si>
    <t>ΟΚΤΩΒΡΙΟΣ</t>
  </si>
  <si>
    <t>ΝΟΕΜΒΡΙΟΣ</t>
  </si>
  <si>
    <t>ΔΕΚΕΜΒΡΙΟΣ</t>
  </si>
  <si>
    <t>ΠΛΗΡΩΘΗΚΕ*</t>
  </si>
  <si>
    <t xml:space="preserve">                ΚΛΑΔΟΣ ΣΤΑΤΙΣΤΙΚΗΣ</t>
  </si>
  <si>
    <t>% μεταβολής στον αρ. ατόμων 2009/2008</t>
  </si>
  <si>
    <t>% μεταβολής στον αρ. ατόμων 2010/2009</t>
  </si>
  <si>
    <t>% μεταβολής στον αρ. ατόμων 2011/2010</t>
  </si>
  <si>
    <t>Εληνοκύπριοι και άλλοι</t>
  </si>
  <si>
    <t>Κοινοτικοί</t>
  </si>
  <si>
    <t xml:space="preserve">Τουρκοκύπριοι </t>
  </si>
  <si>
    <t>Σύνολο</t>
  </si>
  <si>
    <t xml:space="preserve">Αλλοδαποί </t>
  </si>
  <si>
    <t>* 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</si>
  <si>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ΜΕΣΟΣ ΜΗΝΙΑΟΣ ΑΡΙΘΜΟΣ Α΄ ΕΞΑΜΗΝΟΥ</t>
  </si>
  <si>
    <t>ΜΕΣΟΣ ΜΗΝΙΑΙΟΣ ΑΡΙΘΜΟΣ Β΄ ΕΞΑΜΗΝΟΥ</t>
  </si>
  <si>
    <t>ΜΕΣΟΣ ΜΗΝΙΑΙΟΣ  ΑΡΙΘΜΟΣ ΧΡΟΝΟΥ</t>
  </si>
  <si>
    <t>ΜΕΣΟΣ ΜΗΝΙΑΙΟΣ ΑΡΙΘΜΟΣ Α΄ ΕΞΑΜΗΝΟΥ</t>
  </si>
  <si>
    <t>ΜΕΣΟΣ ΜΗΝΙΑΙΟΣ ΑΡΙΘΜΟΣ ΧΡΟΝΟΥ</t>
  </si>
  <si>
    <t xml:space="preserve">ΜΕΣΟΣ ΜΗΝΙΑΙΟΣ ΑΡΙΘΜΟΣ Β΄ ΕΞΑΜΗΝΟΥ </t>
  </si>
  <si>
    <t>ΜΕΣΟΣ ΜΗΝΙΑΙΟΣ ΑΡΙΘΜΟΣ ΕΤΟΥΣ</t>
  </si>
  <si>
    <t xml:space="preserve">ΜΕΣΟΣ ΜΗΝΙΑΙΟΣ ΑΡΙΘΜΟΣ Α΄ ΕΞΑΜΗΝΟΥ </t>
  </si>
  <si>
    <r>
      <t xml:space="preserve">ΠΙΝΑΚΑΣ ΣΤΟΝ ΟΠΟΙΟ ΦΑΙΝΕΤΑΙ Ο ΑΡΙΘΜΟΣ ΤΩΝ ΠΡΟΣΩΠΩΝ ΠΟΥ </t>
    </r>
    <r>
      <rPr>
        <b/>
        <sz val="10"/>
        <rFont val="Arial"/>
        <family val="2"/>
        <charset val="161"/>
      </rPr>
      <t xml:space="preserve">ΑΠΟΤΑΘΗΚΑΝ </t>
    </r>
  </si>
  <si>
    <t>ΑΤΟΜΩΝ</t>
  </si>
  <si>
    <t>ΜΕΣΟΣ ΜΗΝΙΑΙΟΣ ΑΡΙΘΜΟΣ ΑΤΟΜΩΝ ΚΑΙ ΣΥΝΟΛΙΚΟ ΠΟΣΟ ΠΛΗΡΩΜΗΣ Α΄ ΕΞΑΜΗΝΟΥ</t>
  </si>
  <si>
    <t>ΜΕΣΟΣ ΜΗΝΙΑΙΟΣ ΑΡΙΘΜΟΣ ΑΤΟΜΩΝ ΚΑΙ ΣΥΝΟΛΙΚΟ ΠΟΣΟ ΠΛΗΡΩΜΗΣ Β΄ ΕΞΑΜΗΝΟΥ</t>
  </si>
  <si>
    <t xml:space="preserve">                                           ΜΕΣΟΣ ΜΗΝΙΑΙΟΣ ΑΡΙΘΜΟΣ ΑΤΟΜΩΝ ΚΑΙ ΣΥΝΟΛΙΚΟ ΠΟΣΟ ΠΛΗΡΩΜΗΣ ΕΤΟΥΣ €</t>
  </si>
  <si>
    <t>2. Μέρος του ποσού αφορά αναδρομικές πληρωμές.</t>
  </si>
  <si>
    <t xml:space="preserve"> * Το ποσό πληρωμής αφορά τη μηνιαία δαπάνη του επιδόματος ανεργίας και όχι το ποσό που καταβλήθηκε στα πιο πάνω άτομα, για τους πιο κάτω λόγους:</t>
  </si>
  <si>
    <t>ΕΤΗΣΙΑ ΔΑΠΑΝΗ €**</t>
  </si>
  <si>
    <t>ΠΟΣΟ ΠΛΗΡΩΜΗΣ* €</t>
  </si>
  <si>
    <t>% μεταβολής στον αρ. ατόμων 2012/2011</t>
  </si>
  <si>
    <t>ΚΑΤΗΓΟΡΙΑ ΑΝΕΡΓΩΝ</t>
  </si>
  <si>
    <t>A/A</t>
  </si>
  <si>
    <t xml:space="preserve"> ΟΙΚΟΝΟΜΙΚΗ ΔΡΑΣΤΗΡΙΟΤΗΤΑ (NACE 2)</t>
  </si>
  <si>
    <t xml:space="preserve">      ΑΝΑΣΤΟΛΕΣ </t>
  </si>
  <si>
    <t xml:space="preserve">    ΤΕΡΜΑΤΙΣΜΟΙ </t>
  </si>
  <si>
    <t>ΜΕΤΑΠΟΙΗΣΗΣ</t>
  </si>
  <si>
    <t>ΤΟΥΡΙΣΤΙΚΗΣ ΒΙΟΜΗΧΑΝΙΑΣ</t>
  </si>
  <si>
    <t>ΑΛΛΟΙ</t>
  </si>
  <si>
    <t>Γεωργία, δασοκομία και αλιεία</t>
  </si>
  <si>
    <t>Ορυχεία και λατομεία</t>
  </si>
  <si>
    <t>Μεταποίηση</t>
  </si>
  <si>
    <t>Παροχή ηλεκτρικού ρεύματος, φυσικού αερίου, ατμού και κλιματισμού</t>
  </si>
  <si>
    <t>Παροχή νερού, επεξεργασία λυμάτων, διαχείριση αποβλήτων και δραστηριότητες εξυγίανσης</t>
  </si>
  <si>
    <t>Κατασκευές</t>
  </si>
  <si>
    <t>Χονδρικό και λιανικό εμπόριο.  Επισκευή μηχανοκίνητων οχημάτων και μοτοσυκλετών</t>
  </si>
  <si>
    <t>Μεταφορά και αποθήκευση</t>
  </si>
  <si>
    <t>Δραστηριότητες υπηρεσιών παροχής καταλύματος και υπηρεσιών εστίασης</t>
  </si>
  <si>
    <t>Ενημέρωση και επικοινωνία</t>
  </si>
  <si>
    <t>Χρηματοπιστωτικές και ασφαλιστικές δραστηριότητες</t>
  </si>
  <si>
    <t>Διαχείριση ακίνητης περιουσίας</t>
  </si>
  <si>
    <t>Επαγγελματικές, επιστημονικές και τεχνικές δραστηριότητες</t>
  </si>
  <si>
    <t>Διοικητικές και υποστηρικτικές δραστηριότητες</t>
  </si>
  <si>
    <t>Δημόσια διοίκηση και άμυνα. Υποχρεωτική κοινωνική ασφάλιση</t>
  </si>
  <si>
    <t>Εκπαίδευση</t>
  </si>
  <si>
    <t>Δραστηριότητες σχετικές με την ανθρώπινη υγεία και την κοινωνική μέριμνα</t>
  </si>
  <si>
    <t>Τέχνες, διασκέδαση και ψυχαγωγία</t>
  </si>
  <si>
    <t>Άλλες δραστηριότητες παροχής υπηρεσιών</t>
  </si>
  <si>
    <t>Δραστηριότητες νοικοκυριών ως εργοδοτών. Μη διαφοροποιημένες δραστηριότητες νοικοκυριών που αφορούν την παραγωγή αγαθών - και υπηρεσιών - για ιδία χρήση</t>
  </si>
  <si>
    <t>Δραστηριότητες ετερόδικων οργανισμών και φορέων</t>
  </si>
  <si>
    <t>Μη δηλωμένη οικονομική δραστηριότητα</t>
  </si>
  <si>
    <t>Λιμενεργάτες</t>
  </si>
  <si>
    <t>ΥΠΗΡΕΣΙΕΣ ΚΟΙΝΩΝΙΚΩΝ ΑΣΦΑΛΙΣΕΩΝ</t>
  </si>
  <si>
    <t>% μεταβολής στον αρ. ατόμων 2013/2012</t>
  </si>
  <si>
    <t xml:space="preserve">Ποσοστό επί του συνόλου </t>
  </si>
  <si>
    <r>
      <t xml:space="preserve"> ΠΙΝΑΚΑΣ ΣΤΟΝ ΟΠΟΙΟ ΦΑΙΝΕΤΑΙ Ο ΑΡΙΘΜΟΣ ΤΩΝ ΠΡΟΣΩΠΩΝ ΠΟΥ </t>
    </r>
    <r>
      <rPr>
        <b/>
        <sz val="10"/>
        <rFont val="Arial"/>
        <family val="2"/>
        <charset val="161"/>
      </rPr>
      <t xml:space="preserve">ΑΠΟΤΑΘΗΚΑΝ  </t>
    </r>
    <r>
      <rPr>
        <sz val="10"/>
        <rFont val="Arial"/>
        <family val="2"/>
        <charset val="161"/>
      </rPr>
      <t xml:space="preserve">                                    </t>
    </r>
  </si>
  <si>
    <t>ΠΙΝΑΚΑΣ 1</t>
  </si>
  <si>
    <t>ΠΙΝΑΚΑΣ 2</t>
  </si>
  <si>
    <t>ΠΙΝΑΚΑΣ 3</t>
  </si>
  <si>
    <t>ΠΙΝΑΚΑΣ 4</t>
  </si>
  <si>
    <t>ΠΙΝΑΚΑΣ 5</t>
  </si>
  <si>
    <t>ΠΙΝΑΚΑΣ 6</t>
  </si>
  <si>
    <t xml:space="preserve">ΠΙΝΑΚΑΣ ΣΤΟΝ ΟΠΟΙΟ ΦΑΙΝΕΤΑΙ Ο ΑΡΙΘΜΟΣ ΤΩΝ ΠΡΟΣΩΠΩΝ ΠΟΥ ΑΠΟΤΑΘΗΚΑΝ </t>
  </si>
  <si>
    <t>ΠΙΝΑΚΑΣ 7.7</t>
  </si>
  <si>
    <t>ΠΙΝΑΚΑΣ 7.6</t>
  </si>
  <si>
    <t>ΠΙΝΑΚΑΣ 7.1</t>
  </si>
  <si>
    <t>ΠΙΝΑΚΑΣ 7.2</t>
  </si>
  <si>
    <t>ΠΙΝΑΚΑΣ 7.3</t>
  </si>
  <si>
    <t>ΠΙΝΑΚΑΣ 7.4</t>
  </si>
  <si>
    <t>ΠΙΝΑΚΑΣ 7.5</t>
  </si>
  <si>
    <t>ΠΙΝΑΚΑΣ 7.8</t>
  </si>
  <si>
    <t>ΠΙΝΑΚΑΣ 7.9</t>
  </si>
  <si>
    <t>ΠΙΝΑΚΑΣ 7.10</t>
  </si>
  <si>
    <t>ΠΙΝΑΚΑΣ 7.11</t>
  </si>
  <si>
    <t>ΠΟΣΟΣΤΟ ΕΠΙ ΤΟΥ ΣΥΝΟΛΟΥ</t>
  </si>
  <si>
    <t>% μεταβολής στον αρ. ατόμων 2014/2013</t>
  </si>
  <si>
    <t>% μεταβολής στον αρ. ατόμων 2015/2014</t>
  </si>
  <si>
    <t>ΠΟΣΟΣΤΙΑΙΑ ΑΥΞΗΣΗ</t>
  </si>
  <si>
    <t>ΓΕΝΙΚΟ ΣΥΝΟΛΟ</t>
  </si>
  <si>
    <t>% μεταβολής στον αρ. ατόμων 2016/2015</t>
  </si>
  <si>
    <t>ΠΙΝΑΚΑΣ 7.12</t>
  </si>
  <si>
    <t>% μεταβολής στον αρ. ατόμων 2017/2016</t>
  </si>
  <si>
    <t>% μεταβολής στον αρ. ατόμων 2018/2017</t>
  </si>
  <si>
    <t>ΑΡΙΘΜΟΣ ΑΤΟΜΩΝ</t>
  </si>
  <si>
    <t xml:space="preserve">    </t>
  </si>
  <si>
    <t xml:space="preserve">  </t>
  </si>
  <si>
    <t>% μεταβολής του συνόλου 2019/2018</t>
  </si>
  <si>
    <t>% μεταβολής στον αρ. ατόμων 2019/2018</t>
  </si>
  <si>
    <t>1. Οι δικαιούχοι δεν πληρώνονται απαραίτητα τον αντίστοιχο μήνα αναφοράς</t>
  </si>
  <si>
    <t xml:space="preserve">      ΓΙΑ ΕΠΙΔΟΜΑ ΑΝΕΡΓΙΑΣ ΤΟ 2020 ΚΑΤΑ ΕΠΑΡΧΙΑ, ΦΥΛΟ ΚΑΙ ΜΗΝΑ  </t>
  </si>
  <si>
    <t>% μεταβολής 2020/2019</t>
  </si>
  <si>
    <r>
      <t xml:space="preserve"> ΠΙΝΑΚΑΣ ΣΤΟΝ ΟΠΟΙΟ ΦΑΙΝΕΤΑΙ Ο ΑΡΙΘΜΟΣ ΤΩΝ ΑΤΟΜΩΝ ΠΟΥ </t>
    </r>
    <r>
      <rPr>
        <b/>
        <sz val="10"/>
        <rFont val="Arial"/>
        <family val="2"/>
        <charset val="161"/>
      </rPr>
      <t>ΑΠΟΤΑΘΗΚΑΝ</t>
    </r>
    <r>
      <rPr>
        <sz val="10"/>
        <rFont val="Arial"/>
        <family val="2"/>
        <charset val="161"/>
      </rPr>
      <t xml:space="preserve"> ΓΙΑ ΕΠΙΔΟΜΑ ΑΝΕΡΓΙΑΣ ΚΑΤΑ ΜΗΝΑ ΚΑΙ ΧΡΟΝΟ ΓΙΑ ΤΑ ΧΡΟΝΙΑ 1995 - 2020</t>
    </r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</si>
  <si>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τον Ιανουάριο του 2020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</si>
  <si>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 Φεβρουάριο του 2020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</si>
  <si>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 Μάρτιο του 2020</t>
  </si>
  <si>
    <t xml:space="preserve">         Πίνακας στον οποίο φαίνεται ο αριθμός των ατόμων που αποτάθηκαν για επίδομα ανεργίας κατά οικονομική δραστηριότητα και κατάσταση ανέργου, τον Απρίλιο του 2020</t>
  </si>
  <si>
    <t xml:space="preserve">         Πίνακας στον οποίο φαίνεται ο αριθμός των ατόμων που αποτάθηκαν για επίδομα ανεργίας κατά οικονομική δραστηριότητα και κατάσταση ανέργου, τον Μάϊο του 2020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</si>
  <si>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τον Ιούνιο του 2020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</si>
  <si>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τον Ιούλιο του 2020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</si>
  <si>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τον Αύγουστο του 2020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</si>
  <si>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 Σεπτέμβριο του 2020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</si>
  <si>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τον Οκτώβριο του 2020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</si>
  <si>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 Νοέμβριο του 2020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</si>
  <si>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 Δεκέμβριο του 2020</t>
  </si>
  <si>
    <t>Unemployment benefit by economic activity 2020</t>
  </si>
  <si>
    <t>Unemployment benefit by economic activity 2020 (Jan-Dec)</t>
  </si>
  <si>
    <t>Unemployment benefit by economic activity 2020 (Jan-June)</t>
  </si>
  <si>
    <t>UNEMPLOYMENT BENEFIT Y2013-2020</t>
  </si>
  <si>
    <t>ΓΙΑ ΕΠΙΔΟΜΑ ΑΝΕΡΓΙΑΣ ΓΙΑ ΤΑ ΧΡΟΝΙΑ 2019 ΚΑΙ 2020 ΚΑΤΑ ΕΠΑΡΧΙΑ ΚΑΙ ΜΗΝΑ</t>
  </si>
  <si>
    <t>ΓΙΑ ΕΠΙΔΟΜΑ ΑΝΕΡΓΙΑΣ ΚΑΤΑ ΦΥΛΟ ΚΑΙ ΜΗΝΑ ΓΙΑ ΤΑ ΧΡΟΝΙΑ 2019 ΚΑΙ 2020</t>
  </si>
  <si>
    <t>% μεταβολής του συνόλου 2020/2019</t>
  </si>
  <si>
    <t>UNEMPLOYMENT BENEFIT Y2019-2020</t>
  </si>
  <si>
    <t>ΠΙΝΑΚΑΣ ΣΤΟΝ ΟΠΟΙΟ ΦΑΙΝΕΤΑΙ Ο ΑΡΙΘΜΟΣ ΤΩΝ ΔΙΚΑΙΟΥΧΩΝ ΕΠΙΔΟΜΑΤΟΣ ΑΝΕΡΓΙΑΣ ΚΑΙ ΤΟ ΠΟΣΟ ΠΛΗΡΩΜΗΣ* ΚΑΤΑ ΜΗΝΑ ΓΙΑ ΤΑ ΧΡΟΝΙΑ 2013 - 2020</t>
  </si>
  <si>
    <t>% μεταβολής στον αρ. ατόμων 2020/2019</t>
  </si>
  <si>
    <t xml:space="preserve">*το ποσό το βρίσκω από τις εισπράξεις του </t>
  </si>
  <si>
    <t>Λογιστηρίου στο ΠΛΗΡΩΜΕΣ 5060 - 460911529.</t>
  </si>
  <si>
    <r>
      <t xml:space="preserve"> ΠΙΝΑΚΑΣ ΣΤΟΝ ΟΠΟΙΟ ΦΑΙΝΕΤΑΙ Ο ΑΡΙΘΜΟΣ </t>
    </r>
    <r>
      <rPr>
        <b/>
        <sz val="10"/>
        <rFont val="Arial"/>
        <family val="2"/>
        <charset val="161"/>
      </rPr>
      <t xml:space="preserve">ΤΩΝ ΔΙΚΑΙΟΥΧΩΝ </t>
    </r>
    <r>
      <rPr>
        <sz val="10"/>
        <rFont val="Arial"/>
        <family val="2"/>
        <charset val="161"/>
      </rPr>
      <t>ΕΠΙΔΟΜΑΤΟΣ ΑΝΕΡΓΙΑΣ ΑΠΟ ΤΟ ΤΑΜΕΙΟ ΚΟΙΝΩΝΙΚΩΝ ΑΣΦΑΛΙΣΕΩΝ, ΚΑΤΑ ΜΗΝΑ, ΚΟΙΝΟΤΗΤΑ ΚΑΙ ΚΑΤΑ ΧΡΟΝΟ ΓΙΑ ΤΑ ΧΡΟΝΙΑ 2019 - 2020</t>
    </r>
  </si>
  <si>
    <t xml:space="preserve">**  Η ετήσια δαπάνη είναι σύμφωνα με τους τελικούς λογαριασμούς του Ταμείου Κοινωνικών Ασφαλίσεων. Το ετήσιο ποσό διαφέρει από τη μηνιαία δαπάνη γιατί περιλαμβάνει και τις αποδόσεις των δαπανών ανεργίας σε / από άλλες χώρες της Ε.Ε. με βάση τον Κανονισμό καθώς επίσης και ποσό €13.351.696 στο μήνα Δεκέμβριο 2020 που αφορά δαπάνη για το ΕΕΑ8 ("Ειδικό Επίδομα Στήριξης Ανέργων" λόγω της πανδημίας - απόφαση Υπουργικού Συμβουλίου). </t>
  </si>
</sst>
</file>

<file path=xl/styles.xml><?xml version="1.0" encoding="utf-8"?>
<styleSheet xmlns="http://schemas.openxmlformats.org/spreadsheetml/2006/main">
  <numFmts count="7">
    <numFmt numFmtId="41" formatCode="_-* #,##0\ _€_-;\-* #,##0\ _€_-;_-* &quot;-&quot;\ _€_-;_-@_-"/>
    <numFmt numFmtId="164" formatCode="_-* #,##0\ _Δ_ρ_χ_-;\-* #,##0\ _Δ_ρ_χ_-;_-* &quot;-&quot;\ _Δ_ρ_χ_-;_-@_-"/>
    <numFmt numFmtId="165" formatCode="0.0%"/>
    <numFmt numFmtId="166" formatCode="[$-408]d\-mmm\-yy;@"/>
    <numFmt numFmtId="167" formatCode="[$-408]dd\-mmm\-yy;@"/>
    <numFmt numFmtId="168" formatCode="[$€-2]\ #,##0;[Red]\-[$€-2]\ #,##0"/>
    <numFmt numFmtId="169" formatCode="0.0"/>
  </numFmts>
  <fonts count="22">
    <font>
      <sz val="10"/>
      <name val="Arial"/>
      <charset val="161"/>
    </font>
    <font>
      <sz val="10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u/>
      <sz val="9"/>
      <name val="Arial"/>
      <family val="2"/>
      <charset val="161"/>
    </font>
    <font>
      <b/>
      <sz val="11"/>
      <color rgb="FFFA7D00"/>
      <name val="Calibri"/>
      <family val="2"/>
      <charset val="161"/>
      <scheme val="minor"/>
    </font>
    <font>
      <u/>
      <sz val="9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7" fillId="0" borderId="0"/>
    <xf numFmtId="9" fontId="1" fillId="0" borderId="0" applyFont="0" applyFill="0" applyBorder="0" applyAlignment="0" applyProtection="0"/>
    <xf numFmtId="0" fontId="20" fillId="2" borderId="69" applyNumberFormat="0" applyAlignment="0" applyProtection="0"/>
  </cellStyleXfs>
  <cellXfs count="6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4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0" fontId="2" fillId="0" borderId="6" xfId="0" applyFont="1" applyBorder="1"/>
    <xf numFmtId="165" fontId="2" fillId="0" borderId="0" xfId="2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66" fontId="0" fillId="0" borderId="0" xfId="0" applyNumberFormat="1" applyAlignment="1">
      <alignment horizontal="left"/>
    </xf>
    <xf numFmtId="166" fontId="8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/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/>
    <xf numFmtId="0" fontId="13" fillId="0" borderId="0" xfId="0" applyFont="1"/>
    <xf numFmtId="166" fontId="13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left"/>
    </xf>
    <xf numFmtId="0" fontId="19" fillId="0" borderId="0" xfId="0" applyFont="1"/>
    <xf numFmtId="14" fontId="0" fillId="0" borderId="0" xfId="0" applyNumberFormat="1" applyAlignment="1">
      <alignment horizontal="left"/>
    </xf>
    <xf numFmtId="0" fontId="13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7" fillId="0" borderId="0" xfId="0" applyFont="1" applyAlignment="1"/>
    <xf numFmtId="3" fontId="14" fillId="0" borderId="0" xfId="0" applyNumberFormat="1" applyFont="1" applyBorder="1" applyAlignment="1">
      <alignment wrapText="1"/>
    </xf>
    <xf numFmtId="164" fontId="14" fillId="0" borderId="0" xfId="0" applyNumberFormat="1" applyFont="1" applyBorder="1"/>
    <xf numFmtId="16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164" fontId="14" fillId="0" borderId="0" xfId="0" applyNumberFormat="1" applyFont="1" applyBorder="1" applyAlignment="1"/>
    <xf numFmtId="0" fontId="17" fillId="0" borderId="0" xfId="0" applyFont="1" applyBorder="1" applyAlignment="1">
      <alignment horizontal="center"/>
    </xf>
    <xf numFmtId="0" fontId="2" fillId="0" borderId="0" xfId="0" applyFont="1" applyAlignment="1"/>
    <xf numFmtId="164" fontId="13" fillId="0" borderId="9" xfId="0" applyNumberFormat="1" applyFont="1" applyBorder="1"/>
    <xf numFmtId="164" fontId="13" fillId="0" borderId="9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164" fontId="2" fillId="0" borderId="9" xfId="0" applyNumberFormat="1" applyFont="1" applyBorder="1"/>
    <xf numFmtId="164" fontId="2" fillId="0" borderId="9" xfId="0" applyNumberFormat="1" applyFont="1" applyBorder="1" applyAlignment="1">
      <alignment horizontal="center"/>
    </xf>
    <xf numFmtId="164" fontId="14" fillId="0" borderId="9" xfId="0" applyNumberFormat="1" applyFont="1" applyBorder="1"/>
    <xf numFmtId="164" fontId="14" fillId="0" borderId="9" xfId="0" applyNumberFormat="1" applyFont="1" applyBorder="1" applyAlignment="1">
      <alignment horizontal="center"/>
    </xf>
    <xf numFmtId="164" fontId="2" fillId="0" borderId="10" xfId="0" applyNumberFormat="1" applyFont="1" applyBorder="1"/>
    <xf numFmtId="164" fontId="13" fillId="0" borderId="10" xfId="0" applyNumberFormat="1" applyFont="1" applyBorder="1"/>
    <xf numFmtId="0" fontId="14" fillId="0" borderId="0" xfId="0" applyFont="1" applyBorder="1" applyAlignment="1">
      <alignment horizontal="center"/>
    </xf>
    <xf numFmtId="0" fontId="2" fillId="0" borderId="15" xfId="0" applyFont="1" applyBorder="1"/>
    <xf numFmtId="0" fontId="2" fillId="0" borderId="11" xfId="0" applyFont="1" applyBorder="1"/>
    <xf numFmtId="164" fontId="2" fillId="0" borderId="6" xfId="0" applyNumberFormat="1" applyFont="1" applyBorder="1"/>
    <xf numFmtId="166" fontId="13" fillId="0" borderId="0" xfId="0" applyNumberFormat="1" applyFont="1" applyAlignment="1"/>
    <xf numFmtId="164" fontId="3" fillId="0" borderId="34" xfId="0" applyNumberFormat="1" applyFont="1" applyBorder="1" applyAlignment="1">
      <alignment horizontal="center"/>
    </xf>
    <xf numFmtId="165" fontId="2" fillId="0" borderId="26" xfId="2" applyNumberFormat="1" applyFont="1" applyBorder="1" applyAlignment="1">
      <alignment horizontal="center"/>
    </xf>
    <xf numFmtId="164" fontId="13" fillId="0" borderId="40" xfId="0" applyNumberFormat="1" applyFont="1" applyBorder="1"/>
    <xf numFmtId="1" fontId="3" fillId="0" borderId="34" xfId="0" applyNumberFormat="1" applyFont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/>
    <xf numFmtId="164" fontId="14" fillId="0" borderId="19" xfId="0" applyNumberFormat="1" applyFont="1" applyBorder="1" applyAlignment="1">
      <alignment horizontal="left"/>
    </xf>
    <xf numFmtId="164" fontId="14" fillId="0" borderId="12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/>
    <xf numFmtId="165" fontId="2" fillId="0" borderId="27" xfId="2" applyNumberFormat="1" applyFont="1" applyBorder="1" applyAlignment="1">
      <alignment horizontal="center"/>
    </xf>
    <xf numFmtId="164" fontId="0" fillId="0" borderId="0" xfId="0" applyNumberFormat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165" fontId="2" fillId="0" borderId="9" xfId="2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5" fontId="2" fillId="0" borderId="10" xfId="2" applyNumberFormat="1" applyFont="1" applyBorder="1" applyAlignment="1">
      <alignment horizontal="center"/>
    </xf>
    <xf numFmtId="165" fontId="2" fillId="0" borderId="6" xfId="2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165" fontId="2" fillId="0" borderId="26" xfId="0" applyNumberFormat="1" applyFont="1" applyBorder="1"/>
    <xf numFmtId="165" fontId="2" fillId="0" borderId="9" xfId="2" applyNumberFormat="1" applyFont="1" applyBorder="1"/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3" fillId="0" borderId="8" xfId="0" applyFont="1" applyBorder="1"/>
    <xf numFmtId="165" fontId="13" fillId="0" borderId="9" xfId="2" applyNumberFormat="1" applyFont="1" applyBorder="1" applyAlignment="1">
      <alignment horizontal="center"/>
    </xf>
    <xf numFmtId="0" fontId="13" fillId="0" borderId="11" xfId="0" applyFont="1" applyBorder="1"/>
    <xf numFmtId="0" fontId="13" fillId="0" borderId="15" xfId="0" applyFont="1" applyBorder="1"/>
    <xf numFmtId="0" fontId="14" fillId="0" borderId="31" xfId="0" applyFont="1" applyBorder="1" applyAlignment="1">
      <alignment horizontal="left" vertical="center" wrapText="1"/>
    </xf>
    <xf numFmtId="1" fontId="14" fillId="0" borderId="34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10" fillId="0" borderId="8" xfId="0" applyFont="1" applyBorder="1"/>
    <xf numFmtId="164" fontId="18" fillId="0" borderId="9" xfId="0" applyNumberFormat="1" applyFont="1" applyBorder="1"/>
    <xf numFmtId="165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/>
    <xf numFmtId="0" fontId="10" fillId="0" borderId="11" xfId="0" applyFont="1" applyBorder="1"/>
    <xf numFmtId="164" fontId="18" fillId="0" borderId="10" xfId="0" applyNumberFormat="1" applyFont="1" applyBorder="1"/>
    <xf numFmtId="165" fontId="13" fillId="0" borderId="10" xfId="2" applyNumberFormat="1" applyFont="1" applyBorder="1" applyAlignment="1">
      <alignment horizontal="center"/>
    </xf>
    <xf numFmtId="0" fontId="10" fillId="0" borderId="15" xfId="0" applyFont="1" applyBorder="1"/>
    <xf numFmtId="164" fontId="18" fillId="0" borderId="6" xfId="0" applyNumberFormat="1" applyFont="1" applyBorder="1"/>
    <xf numFmtId="164" fontId="13" fillId="0" borderId="6" xfId="0" applyNumberFormat="1" applyFont="1" applyBorder="1"/>
    <xf numFmtId="165" fontId="13" fillId="0" borderId="6" xfId="2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15" fillId="0" borderId="31" xfId="0" applyFont="1" applyBorder="1" applyAlignment="1">
      <alignment wrapText="1"/>
    </xf>
    <xf numFmtId="164" fontId="18" fillId="0" borderId="34" xfId="0" applyNumberFormat="1" applyFont="1" applyBorder="1" applyAlignment="1">
      <alignment horizontal="center"/>
    </xf>
    <xf numFmtId="164" fontId="13" fillId="0" borderId="34" xfId="0" applyNumberFormat="1" applyFont="1" applyBorder="1" applyAlignment="1">
      <alignment horizontal="center"/>
    </xf>
    <xf numFmtId="164" fontId="14" fillId="0" borderId="34" xfId="0" applyNumberFormat="1" applyFont="1" applyBorder="1" applyAlignment="1">
      <alignment horizontal="center"/>
    </xf>
    <xf numFmtId="165" fontId="14" fillId="0" borderId="34" xfId="2" applyNumberFormat="1" applyFont="1" applyBorder="1" applyAlignment="1">
      <alignment horizontal="center"/>
    </xf>
    <xf numFmtId="165" fontId="3" fillId="0" borderId="34" xfId="2" applyNumberFormat="1" applyFont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165" fontId="2" fillId="0" borderId="34" xfId="2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18" fillId="0" borderId="34" xfId="0" applyNumberFormat="1" applyFont="1" applyBorder="1" applyAlignment="1">
      <alignment horizontal="center"/>
    </xf>
    <xf numFmtId="1" fontId="13" fillId="0" borderId="34" xfId="0" applyNumberFormat="1" applyFont="1" applyBorder="1" applyAlignment="1">
      <alignment horizontal="center"/>
    </xf>
    <xf numFmtId="165" fontId="3" fillId="0" borderId="27" xfId="2" applyNumberFormat="1" applyFont="1" applyBorder="1" applyAlignment="1">
      <alignment horizontal="center"/>
    </xf>
    <xf numFmtId="164" fontId="18" fillId="0" borderId="34" xfId="0" applyNumberFormat="1" applyFont="1" applyBorder="1"/>
    <xf numFmtId="164" fontId="13" fillId="0" borderId="34" xfId="0" applyNumberFormat="1" applyFont="1" applyBorder="1"/>
    <xf numFmtId="164" fontId="14" fillId="0" borderId="34" xfId="0" applyNumberFormat="1" applyFont="1" applyBorder="1" applyAlignment="1"/>
    <xf numFmtId="164" fontId="14" fillId="0" borderId="34" xfId="0" applyNumberFormat="1" applyFont="1" applyBorder="1"/>
    <xf numFmtId="1" fontId="2" fillId="0" borderId="34" xfId="0" applyNumberFormat="1" applyFont="1" applyBorder="1" applyAlignment="1">
      <alignment horizontal="center"/>
    </xf>
    <xf numFmtId="0" fontId="14" fillId="0" borderId="31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168" fontId="14" fillId="0" borderId="34" xfId="0" applyNumberFormat="1" applyFont="1" applyBorder="1" applyAlignment="1">
      <alignment horizontal="center" wrapText="1"/>
    </xf>
    <xf numFmtId="3" fontId="14" fillId="0" borderId="34" xfId="0" applyNumberFormat="1" applyFont="1" applyBorder="1" applyAlignment="1">
      <alignment wrapText="1"/>
    </xf>
    <xf numFmtId="0" fontId="13" fillId="0" borderId="34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34" xfId="0" applyFont="1" applyBorder="1"/>
    <xf numFmtId="164" fontId="14" fillId="0" borderId="9" xfId="0" applyNumberFormat="1" applyFont="1" applyBorder="1" applyAlignment="1">
      <alignment horizontal="left"/>
    </xf>
    <xf numFmtId="164" fontId="2" fillId="0" borderId="9" xfId="0" applyNumberFormat="1" applyFont="1" applyFill="1" applyBorder="1" applyAlignment="1">
      <alignment horizontal="center"/>
    </xf>
    <xf numFmtId="0" fontId="2" fillId="0" borderId="59" xfId="0" applyFont="1" applyBorder="1"/>
    <xf numFmtId="1" fontId="14" fillId="0" borderId="5" xfId="0" applyNumberFormat="1" applyFont="1" applyBorder="1"/>
    <xf numFmtId="0" fontId="14" fillId="0" borderId="59" xfId="0" applyFont="1" applyBorder="1"/>
    <xf numFmtId="165" fontId="14" fillId="0" borderId="4" xfId="0" applyNumberFormat="1" applyFont="1" applyBorder="1"/>
    <xf numFmtId="165" fontId="14" fillId="0" borderId="28" xfId="0" applyNumberFormat="1" applyFont="1" applyBorder="1"/>
    <xf numFmtId="1" fontId="14" fillId="0" borderId="28" xfId="0" applyNumberFormat="1" applyFont="1" applyBorder="1"/>
    <xf numFmtId="1" fontId="2" fillId="0" borderId="59" xfId="0" applyNumberFormat="1" applyFont="1" applyBorder="1" applyAlignment="1">
      <alignment horizontal="center"/>
    </xf>
    <xf numFmtId="165" fontId="2" fillId="0" borderId="59" xfId="2" applyNumberFormat="1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165" fontId="14" fillId="0" borderId="28" xfId="0" applyNumberFormat="1" applyFont="1" applyBorder="1" applyAlignment="1">
      <alignment horizontal="center"/>
    </xf>
    <xf numFmtId="0" fontId="6" fillId="0" borderId="21" xfId="0" applyFont="1" applyBorder="1"/>
    <xf numFmtId="0" fontId="6" fillId="0" borderId="21" xfId="0" applyFont="1" applyBorder="1" applyAlignment="1">
      <alignment horizontal="center"/>
    </xf>
    <xf numFmtId="165" fontId="6" fillId="0" borderId="21" xfId="2" applyNumberFormat="1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" fillId="0" borderId="0" xfId="0" applyFont="1"/>
    <xf numFmtId="164" fontId="2" fillId="0" borderId="10" xfId="0" applyNumberFormat="1" applyFont="1" applyFill="1" applyBorder="1"/>
    <xf numFmtId="10" fontId="2" fillId="0" borderId="4" xfId="0" applyNumberFormat="1" applyFont="1" applyBorder="1"/>
    <xf numFmtId="165" fontId="2" fillId="0" borderId="21" xfId="2" applyNumberFormat="1" applyFont="1" applyBorder="1"/>
    <xf numFmtId="165" fontId="2" fillId="0" borderId="59" xfId="2" applyNumberFormat="1" applyFont="1" applyBorder="1"/>
    <xf numFmtId="164" fontId="13" fillId="0" borderId="9" xfId="0" applyNumberFormat="1" applyFont="1" applyFill="1" applyBorder="1" applyAlignment="1">
      <alignment horizontal="center"/>
    </xf>
    <xf numFmtId="165" fontId="2" fillId="0" borderId="7" xfId="2" applyNumberFormat="1" applyFont="1" applyBorder="1" applyAlignment="1">
      <alignment horizontal="center"/>
    </xf>
    <xf numFmtId="41" fontId="5" fillId="0" borderId="6" xfId="0" applyNumberFormat="1" applyFont="1" applyBorder="1" applyAlignment="1">
      <alignment horizontal="right"/>
    </xf>
    <xf numFmtId="41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0" xfId="0" applyFill="1"/>
    <xf numFmtId="1" fontId="2" fillId="0" borderId="3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3" fillId="0" borderId="0" xfId="0" applyFont="1" applyFill="1"/>
    <xf numFmtId="0" fontId="15" fillId="0" borderId="31" xfId="0" applyFont="1" applyFill="1" applyBorder="1" applyAlignment="1">
      <alignment wrapText="1"/>
    </xf>
    <xf numFmtId="164" fontId="18" fillId="0" borderId="34" xfId="0" applyNumberFormat="1" applyFont="1" applyFill="1" applyBorder="1" applyAlignment="1">
      <alignment horizontal="center"/>
    </xf>
    <xf numFmtId="164" fontId="13" fillId="0" borderId="34" xfId="0" applyNumberFormat="1" applyFont="1" applyFill="1" applyBorder="1" applyAlignment="1">
      <alignment horizontal="center"/>
    </xf>
    <xf numFmtId="164" fontId="14" fillId="0" borderId="34" xfId="0" applyNumberFormat="1" applyFont="1" applyFill="1" applyBorder="1" applyAlignment="1">
      <alignment horizontal="center"/>
    </xf>
    <xf numFmtId="165" fontId="14" fillId="0" borderId="34" xfId="2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165" fontId="3" fillId="0" borderId="34" xfId="2" applyNumberFormat="1" applyFont="1" applyFill="1" applyBorder="1" applyAlignment="1">
      <alignment horizontal="center"/>
    </xf>
    <xf numFmtId="1" fontId="0" fillId="0" borderId="0" xfId="0" applyNumberFormat="1"/>
    <xf numFmtId="1" fontId="14" fillId="0" borderId="5" xfId="0" applyNumberFormat="1" applyFont="1" applyFill="1" applyBorder="1"/>
    <xf numFmtId="10" fontId="0" fillId="0" borderId="0" xfId="0" applyNumberFormat="1"/>
    <xf numFmtId="165" fontId="0" fillId="0" borderId="0" xfId="0" applyNumberFormat="1"/>
    <xf numFmtId="165" fontId="2" fillId="0" borderId="26" xfId="2" applyNumberFormat="1" applyFont="1" applyFill="1" applyBorder="1" applyAlignment="1">
      <alignment horizontal="center"/>
    </xf>
    <xf numFmtId="165" fontId="2" fillId="0" borderId="48" xfId="2" applyNumberFormat="1" applyFont="1" applyBorder="1" applyAlignment="1">
      <alignment horizontal="center"/>
    </xf>
    <xf numFmtId="165" fontId="2" fillId="0" borderId="37" xfId="2" applyNumberFormat="1" applyFont="1" applyFill="1" applyBorder="1" applyAlignment="1">
      <alignment horizontal="center"/>
    </xf>
    <xf numFmtId="164" fontId="2" fillId="0" borderId="6" xfId="0" applyNumberFormat="1" applyFont="1" applyFill="1" applyBorder="1"/>
    <xf numFmtId="165" fontId="2" fillId="0" borderId="30" xfId="2" applyNumberFormat="1" applyFont="1" applyFill="1" applyBorder="1" applyAlignment="1">
      <alignment horizontal="center"/>
    </xf>
    <xf numFmtId="165" fontId="2" fillId="0" borderId="27" xfId="2" applyNumberFormat="1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14" fillId="0" borderId="27" xfId="2" applyNumberFormat="1" applyFont="1" applyBorder="1" applyAlignment="1">
      <alignment horizontal="center"/>
    </xf>
    <xf numFmtId="0" fontId="4" fillId="0" borderId="0" xfId="0" applyFont="1" applyFill="1" applyAlignment="1"/>
    <xf numFmtId="0" fontId="2" fillId="0" borderId="0" xfId="0" applyFont="1" applyFill="1"/>
    <xf numFmtId="0" fontId="6" fillId="0" borderId="9" xfId="0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6" fillId="0" borderId="0" xfId="0" applyFont="1" applyFill="1"/>
    <xf numFmtId="0" fontId="14" fillId="0" borderId="0" xfId="0" applyFont="1" applyFill="1" applyAlignment="1"/>
    <xf numFmtId="0" fontId="2" fillId="0" borderId="9" xfId="0" applyFont="1" applyFill="1" applyBorder="1"/>
    <xf numFmtId="0" fontId="2" fillId="0" borderId="10" xfId="0" applyFont="1" applyFill="1" applyBorder="1"/>
    <xf numFmtId="1" fontId="2" fillId="0" borderId="59" xfId="0" applyNumberFormat="1" applyFont="1" applyFill="1" applyBorder="1"/>
    <xf numFmtId="0" fontId="2" fillId="0" borderId="59" xfId="0" applyFont="1" applyFill="1" applyBorder="1"/>
    <xf numFmtId="0" fontId="2" fillId="0" borderId="6" xfId="0" applyFont="1" applyFill="1" applyBorder="1"/>
    <xf numFmtId="0" fontId="14" fillId="0" borderId="59" xfId="0" applyFont="1" applyFill="1" applyBorder="1"/>
    <xf numFmtId="165" fontId="2" fillId="0" borderId="9" xfId="2" applyNumberFormat="1" applyFont="1" applyFill="1" applyBorder="1"/>
    <xf numFmtId="165" fontId="2" fillId="0" borderId="10" xfId="2" applyNumberFormat="1" applyFont="1" applyFill="1" applyBorder="1"/>
    <xf numFmtId="165" fontId="14" fillId="0" borderId="5" xfId="2" applyNumberFormat="1" applyFont="1" applyFill="1" applyBorder="1"/>
    <xf numFmtId="165" fontId="2" fillId="0" borderId="6" xfId="2" applyNumberFormat="1" applyFont="1" applyFill="1" applyBorder="1"/>
    <xf numFmtId="164" fontId="13" fillId="0" borderId="9" xfId="0" applyNumberFormat="1" applyFont="1" applyBorder="1" applyAlignment="1">
      <alignment horizontal="left"/>
    </xf>
    <xf numFmtId="1" fontId="13" fillId="0" borderId="8" xfId="0" applyNumberFormat="1" applyFont="1" applyFill="1" applyBorder="1" applyAlignment="1">
      <alignment horizontal="center"/>
    </xf>
    <xf numFmtId="1" fontId="13" fillId="0" borderId="16" xfId="0" applyNumberFormat="1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1" fontId="14" fillId="0" borderId="31" xfId="0" applyNumberFormat="1" applyFont="1" applyFill="1" applyBorder="1" applyAlignment="1">
      <alignment horizontal="center"/>
    </xf>
    <xf numFmtId="165" fontId="14" fillId="0" borderId="27" xfId="2" applyNumberFormat="1" applyFont="1" applyFill="1" applyBorder="1" applyAlignment="1">
      <alignment horizontal="center"/>
    </xf>
    <xf numFmtId="165" fontId="14" fillId="0" borderId="7" xfId="2" applyNumberFormat="1" applyFont="1" applyFill="1" applyBorder="1" applyAlignment="1">
      <alignment horizontal="center"/>
    </xf>
    <xf numFmtId="165" fontId="14" fillId="0" borderId="7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1" xfId="0" applyFont="1" applyFill="1" applyBorder="1"/>
    <xf numFmtId="1" fontId="14" fillId="0" borderId="47" xfId="0" applyNumberFormat="1" applyFont="1" applyFill="1" applyBorder="1"/>
    <xf numFmtId="0" fontId="2" fillId="0" borderId="15" xfId="0" applyFont="1" applyBorder="1" applyAlignment="1">
      <alignment horizontal="center"/>
    </xf>
    <xf numFmtId="1" fontId="2" fillId="0" borderId="58" xfId="0" applyNumberFormat="1" applyFont="1" applyBorder="1"/>
    <xf numFmtId="1" fontId="14" fillId="0" borderId="68" xfId="0" applyNumberFormat="1" applyFont="1" applyBorder="1"/>
    <xf numFmtId="0" fontId="2" fillId="0" borderId="58" xfId="0" applyFont="1" applyBorder="1"/>
    <xf numFmtId="0" fontId="4" fillId="0" borderId="1" xfId="0" applyFont="1" applyBorder="1" applyAlignment="1">
      <alignment horizontal="center"/>
    </xf>
    <xf numFmtId="165" fontId="2" fillId="0" borderId="42" xfId="2" applyNumberFormat="1" applyFont="1" applyBorder="1" applyAlignment="1">
      <alignment horizontal="center"/>
    </xf>
    <xf numFmtId="165" fontId="2" fillId="0" borderId="44" xfId="2" applyNumberFormat="1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" fontId="14" fillId="0" borderId="58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5" fontId="5" fillId="0" borderId="26" xfId="0" applyNumberFormat="1" applyFont="1" applyFill="1" applyBorder="1" applyAlignment="1">
      <alignment wrapText="1"/>
    </xf>
    <xf numFmtId="1" fontId="14" fillId="0" borderId="34" xfId="0" applyNumberFormat="1" applyFont="1" applyFill="1" applyBorder="1" applyAlignment="1">
      <alignment horizontal="center"/>
    </xf>
    <xf numFmtId="166" fontId="13" fillId="0" borderId="0" xfId="0" applyNumberFormat="1" applyFont="1" applyAlignment="1">
      <alignment horizontal="left"/>
    </xf>
    <xf numFmtId="10" fontId="13" fillId="0" borderId="59" xfId="2" applyNumberFormat="1" applyFont="1" applyBorder="1" applyAlignment="1">
      <alignment horizontal="center"/>
    </xf>
    <xf numFmtId="0" fontId="2" fillId="0" borderId="60" xfId="0" applyFont="1" applyBorder="1"/>
    <xf numFmtId="0" fontId="2" fillId="0" borderId="21" xfId="0" applyFont="1" applyBorder="1"/>
    <xf numFmtId="1" fontId="14" fillId="0" borderId="7" xfId="0" applyNumberFormat="1" applyFont="1" applyBorder="1"/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" fontId="14" fillId="0" borderId="39" xfId="0" applyNumberFormat="1" applyFont="1" applyFill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1" fontId="2" fillId="0" borderId="6" xfId="0" applyNumberFormat="1" applyFont="1" applyBorder="1"/>
    <xf numFmtId="41" fontId="5" fillId="0" borderId="6" xfId="0" applyNumberFormat="1" applyFont="1" applyBorder="1" applyAlignment="1">
      <alignment horizontal="center"/>
    </xf>
    <xf numFmtId="41" fontId="0" fillId="0" borderId="0" xfId="0" applyNumberFormat="1"/>
    <xf numFmtId="1" fontId="13" fillId="0" borderId="31" xfId="0" applyNumberFormat="1" applyFont="1" applyFill="1" applyBorder="1" applyAlignment="1">
      <alignment horizontal="center"/>
    </xf>
    <xf numFmtId="169" fontId="0" fillId="0" borderId="0" xfId="0" applyNumberFormat="1"/>
    <xf numFmtId="0" fontId="20" fillId="0" borderId="0" xfId="3" applyFill="1" applyBorder="1"/>
    <xf numFmtId="165" fontId="14" fillId="0" borderId="28" xfId="2" applyNumberFormat="1" applyFont="1" applyBorder="1"/>
    <xf numFmtId="0" fontId="2" fillId="0" borderId="10" xfId="0" applyFont="1" applyBorder="1"/>
    <xf numFmtId="0" fontId="2" fillId="0" borderId="45" xfId="0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wrapText="1"/>
    </xf>
    <xf numFmtId="165" fontId="4" fillId="0" borderId="34" xfId="0" applyNumberFormat="1" applyFont="1" applyFill="1" applyBorder="1" applyAlignment="1">
      <alignment wrapText="1"/>
    </xf>
    <xf numFmtId="165" fontId="5" fillId="0" borderId="6" xfId="0" applyNumberFormat="1" applyFont="1" applyFill="1" applyBorder="1" applyAlignment="1">
      <alignment wrapText="1"/>
    </xf>
    <xf numFmtId="165" fontId="11" fillId="0" borderId="34" xfId="0" applyNumberFormat="1" applyFont="1" applyFill="1" applyBorder="1" applyAlignment="1">
      <alignment wrapText="1"/>
    </xf>
    <xf numFmtId="0" fontId="2" fillId="0" borderId="2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41" fontId="5" fillId="0" borderId="6" xfId="0" applyNumberFormat="1" applyFont="1" applyFill="1" applyBorder="1" applyAlignment="1"/>
    <xf numFmtId="41" fontId="5" fillId="0" borderId="21" xfId="0" applyNumberFormat="1" applyFont="1" applyBorder="1" applyAlignment="1">
      <alignment horizontal="right"/>
    </xf>
    <xf numFmtId="164" fontId="13" fillId="0" borderId="26" xfId="0" applyNumberFormat="1" applyFont="1" applyBorder="1" applyAlignment="1">
      <alignment horizontal="center"/>
    </xf>
    <xf numFmtId="41" fontId="11" fillId="0" borderId="34" xfId="0" applyNumberFormat="1" applyFont="1" applyBorder="1" applyAlignment="1">
      <alignment horizontal="center"/>
    </xf>
    <xf numFmtId="41" fontId="0" fillId="0" borderId="0" xfId="0" applyNumberFormat="1" applyFill="1"/>
    <xf numFmtId="41" fontId="1" fillId="0" borderId="0" xfId="0" applyNumberFormat="1" applyFont="1" applyFill="1"/>
    <xf numFmtId="0" fontId="14" fillId="0" borderId="9" xfId="0" applyFont="1" applyFill="1" applyBorder="1"/>
    <xf numFmtId="0" fontId="14" fillId="0" borderId="10" xfId="0" applyFont="1" applyFill="1" applyBorder="1"/>
    <xf numFmtId="0" fontId="14" fillId="0" borderId="6" xfId="0" applyFont="1" applyFill="1" applyBorder="1"/>
    <xf numFmtId="0" fontId="14" fillId="0" borderId="9" xfId="0" applyFont="1" applyBorder="1"/>
    <xf numFmtId="0" fontId="14" fillId="0" borderId="6" xfId="0" applyFont="1" applyBorder="1"/>
    <xf numFmtId="0" fontId="14" fillId="0" borderId="26" xfId="0" applyFont="1" applyBorder="1"/>
    <xf numFmtId="0" fontId="14" fillId="0" borderId="40" xfId="0" applyFont="1" applyFill="1" applyBorder="1"/>
    <xf numFmtId="0" fontId="14" fillId="0" borderId="41" xfId="0" applyFont="1" applyFill="1" applyBorder="1"/>
    <xf numFmtId="0" fontId="14" fillId="0" borderId="45" xfId="0" applyFont="1" applyFill="1" applyBorder="1"/>
    <xf numFmtId="165" fontId="2" fillId="0" borderId="59" xfId="0" applyNumberFormat="1" applyFont="1" applyFill="1" applyBorder="1"/>
    <xf numFmtId="0" fontId="14" fillId="0" borderId="9" xfId="0" applyFont="1" applyBorder="1" applyAlignment="1">
      <alignment horizontal="center"/>
    </xf>
    <xf numFmtId="1" fontId="14" fillId="0" borderId="59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5" fillId="0" borderId="21" xfId="0" applyFont="1" applyBorder="1"/>
    <xf numFmtId="1" fontId="14" fillId="0" borderId="9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164" fontId="14" fillId="0" borderId="54" xfId="0" applyNumberFormat="1" applyFont="1" applyBorder="1" applyAlignment="1">
      <alignment horizontal="left"/>
    </xf>
    <xf numFmtId="164" fontId="14" fillId="0" borderId="19" xfId="0" applyNumberFormat="1" applyFont="1" applyFill="1" applyBorder="1" applyAlignment="1">
      <alignment horizontal="left"/>
    </xf>
    <xf numFmtId="164" fontId="13" fillId="0" borderId="9" xfId="0" applyNumberFormat="1" applyFont="1" applyFill="1" applyBorder="1"/>
    <xf numFmtId="164" fontId="13" fillId="0" borderId="40" xfId="0" applyNumberFormat="1" applyFont="1" applyFill="1" applyBorder="1"/>
    <xf numFmtId="0" fontId="14" fillId="0" borderId="9" xfId="0" applyFont="1" applyFill="1" applyBorder="1" applyAlignment="1">
      <alignment horizontal="center"/>
    </xf>
    <xf numFmtId="164" fontId="14" fillId="0" borderId="9" xfId="0" applyNumberFormat="1" applyFont="1" applyFill="1" applyBorder="1"/>
    <xf numFmtId="164" fontId="14" fillId="0" borderId="9" xfId="0" applyNumberFormat="1" applyFont="1" applyFill="1" applyBorder="1" applyAlignment="1">
      <alignment horizontal="center"/>
    </xf>
    <xf numFmtId="0" fontId="2" fillId="0" borderId="4" xfId="0" applyFont="1" applyFill="1" applyBorder="1"/>
    <xf numFmtId="1" fontId="14" fillId="0" borderId="28" xfId="0" applyNumberFormat="1" applyFont="1" applyFill="1" applyBorder="1"/>
    <xf numFmtId="1" fontId="6" fillId="0" borderId="21" xfId="0" applyNumberFormat="1" applyFont="1" applyFill="1" applyBorder="1" applyAlignment="1">
      <alignment horizontal="center"/>
    </xf>
    <xf numFmtId="0" fontId="14" fillId="0" borderId="21" xfId="0" applyFont="1" applyBorder="1"/>
    <xf numFmtId="0" fontId="14" fillId="0" borderId="3" xfId="0" applyFont="1" applyBorder="1"/>
    <xf numFmtId="0" fontId="14" fillId="0" borderId="70" xfId="0" applyFont="1" applyBorder="1"/>
    <xf numFmtId="1" fontId="14" fillId="0" borderId="38" xfId="0" applyNumberFormat="1" applyFont="1" applyBorder="1"/>
    <xf numFmtId="165" fontId="2" fillId="0" borderId="7" xfId="0" applyNumberFormat="1" applyFont="1" applyBorder="1"/>
    <xf numFmtId="165" fontId="2" fillId="0" borderId="37" xfId="0" applyNumberFormat="1" applyFont="1" applyBorder="1"/>
    <xf numFmtId="165" fontId="2" fillId="0" borderId="63" xfId="0" applyNumberFormat="1" applyFont="1" applyBorder="1"/>
    <xf numFmtId="0" fontId="14" fillId="0" borderId="17" xfId="0" applyFont="1" applyBorder="1"/>
    <xf numFmtId="165" fontId="14" fillId="0" borderId="47" xfId="2" applyNumberFormat="1" applyFont="1" applyFill="1" applyBorder="1"/>
    <xf numFmtId="165" fontId="5" fillId="0" borderId="48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0" fillId="0" borderId="0" xfId="0" applyNumberFormat="1" applyBorder="1"/>
    <xf numFmtId="165" fontId="11" fillId="0" borderId="27" xfId="0" applyNumberFormat="1" applyFont="1" applyFill="1" applyBorder="1" applyAlignment="1">
      <alignment wrapText="1"/>
    </xf>
    <xf numFmtId="165" fontId="2" fillId="0" borderId="48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" fontId="14" fillId="0" borderId="21" xfId="0" applyNumberFormat="1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0" fontId="14" fillId="0" borderId="5" xfId="0" applyNumberFormat="1" applyFont="1" applyBorder="1" applyAlignment="1">
      <alignment horizontal="center"/>
    </xf>
    <xf numFmtId="165" fontId="14" fillId="0" borderId="63" xfId="0" applyNumberFormat="1" applyFont="1" applyBorder="1" applyAlignment="1">
      <alignment horizontal="center"/>
    </xf>
    <xf numFmtId="165" fontId="14" fillId="0" borderId="5" xfId="0" applyNumberFormat="1" applyFont="1" applyBorder="1"/>
    <xf numFmtId="165" fontId="2" fillId="0" borderId="21" xfId="0" applyNumberFormat="1" applyFont="1" applyBorder="1"/>
    <xf numFmtId="165" fontId="14" fillId="0" borderId="38" xfId="0" applyNumberFormat="1" applyFont="1" applyBorder="1"/>
    <xf numFmtId="165" fontId="1" fillId="0" borderId="0" xfId="0" applyNumberFormat="1" applyFont="1"/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/>
    </xf>
    <xf numFmtId="166" fontId="13" fillId="0" borderId="0" xfId="0" applyNumberFormat="1" applyFont="1" applyAlignment="1">
      <alignment horizontal="left"/>
    </xf>
    <xf numFmtId="0" fontId="14" fillId="0" borderId="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64" fontId="14" fillId="0" borderId="20" xfId="0" applyNumberFormat="1" applyFont="1" applyBorder="1" applyAlignment="1">
      <alignment horizontal="left"/>
    </xf>
    <xf numFmtId="164" fontId="14" fillId="0" borderId="8" xfId="0" applyNumberFormat="1" applyFont="1" applyBorder="1" applyAlignment="1">
      <alignment horizontal="left"/>
    </xf>
    <xf numFmtId="164" fontId="13" fillId="0" borderId="8" xfId="0" applyNumberFormat="1" applyFont="1" applyBorder="1" applyAlignment="1">
      <alignment horizontal="left"/>
    </xf>
    <xf numFmtId="164" fontId="13" fillId="0" borderId="11" xfId="0" applyNumberFormat="1" applyFont="1" applyBorder="1" applyAlignment="1">
      <alignment horizontal="left"/>
    </xf>
    <xf numFmtId="164" fontId="13" fillId="0" borderId="10" xfId="0" applyNumberFormat="1" applyFont="1" applyBorder="1" applyAlignment="1">
      <alignment horizontal="left"/>
    </xf>
    <xf numFmtId="164" fontId="13" fillId="0" borderId="10" xfId="0" applyNumberFormat="1" applyFont="1" applyBorder="1" applyAlignment="1">
      <alignment horizontal="center"/>
    </xf>
    <xf numFmtId="0" fontId="19" fillId="0" borderId="0" xfId="0" applyFont="1" applyFill="1"/>
    <xf numFmtId="0" fontId="13" fillId="0" borderId="13" xfId="0" applyFont="1" applyBorder="1"/>
    <xf numFmtId="0" fontId="14" fillId="0" borderId="57" xfId="0" applyFont="1" applyBorder="1" applyAlignment="1">
      <alignment horizontal="left"/>
    </xf>
    <xf numFmtId="0" fontId="14" fillId="0" borderId="8" xfId="0" applyFont="1" applyBorder="1"/>
    <xf numFmtId="0" fontId="14" fillId="0" borderId="40" xfId="0" applyFont="1" applyBorder="1" applyAlignment="1">
      <alignment horizontal="left"/>
    </xf>
    <xf numFmtId="0" fontId="13" fillId="0" borderId="40" xfId="0" applyFont="1" applyBorder="1"/>
    <xf numFmtId="0" fontId="14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left"/>
    </xf>
    <xf numFmtId="0" fontId="13" fillId="0" borderId="40" xfId="0" applyFont="1" applyBorder="1" applyAlignment="1">
      <alignment horizontal="left" vertical="center" wrapText="1"/>
    </xf>
    <xf numFmtId="10" fontId="13" fillId="0" borderId="26" xfId="0" applyNumberFormat="1" applyFont="1" applyBorder="1" applyAlignment="1">
      <alignment horizontal="center"/>
    </xf>
    <xf numFmtId="164" fontId="13" fillId="0" borderId="0" xfId="0" applyNumberFormat="1" applyFont="1"/>
    <xf numFmtId="0" fontId="13" fillId="0" borderId="8" xfId="0" applyFont="1" applyBorder="1" applyAlignment="1">
      <alignment horizontal="left" vertical="center"/>
    </xf>
    <xf numFmtId="0" fontId="13" fillId="0" borderId="40" xfId="0" applyFont="1" applyFill="1" applyBorder="1" applyAlignment="1">
      <alignment horizontal="left" vertical="center" wrapText="1"/>
    </xf>
    <xf numFmtId="0" fontId="13" fillId="0" borderId="4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164" fontId="13" fillId="0" borderId="10" xfId="0" applyNumberFormat="1" applyFont="1" applyFill="1" applyBorder="1" applyAlignment="1">
      <alignment horizontal="center"/>
    </xf>
    <xf numFmtId="10" fontId="13" fillId="0" borderId="48" xfId="0" applyNumberFormat="1" applyFont="1" applyBorder="1" applyAlignment="1">
      <alignment horizontal="center"/>
    </xf>
    <xf numFmtId="0" fontId="13" fillId="0" borderId="31" xfId="0" applyFont="1" applyBorder="1" applyAlignment="1">
      <alignment horizontal="left"/>
    </xf>
    <xf numFmtId="0" fontId="14" fillId="0" borderId="46" xfId="0" applyFont="1" applyBorder="1" applyAlignment="1">
      <alignment horizontal="left"/>
    </xf>
    <xf numFmtId="164" fontId="14" fillId="0" borderId="31" xfId="0" applyNumberFormat="1" applyFont="1" applyBorder="1" applyAlignment="1">
      <alignment horizontal="left"/>
    </xf>
    <xf numFmtId="164" fontId="14" fillId="0" borderId="34" xfId="0" applyNumberFormat="1" applyFont="1" applyBorder="1" applyAlignment="1">
      <alignment horizontal="left"/>
    </xf>
    <xf numFmtId="164" fontId="14" fillId="0" borderId="34" xfId="0" applyNumberFormat="1" applyFont="1" applyFill="1" applyBorder="1" applyAlignment="1">
      <alignment horizontal="left"/>
    </xf>
    <xf numFmtId="10" fontId="14" fillId="0" borderId="27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4" fontId="14" fillId="0" borderId="0" xfId="0" applyNumberFormat="1" applyFont="1" applyBorder="1" applyAlignment="1">
      <alignment horizontal="left"/>
    </xf>
    <xf numFmtId="164" fontId="14" fillId="0" borderId="0" xfId="0" applyNumberFormat="1" applyFont="1" applyFill="1" applyBorder="1" applyAlignment="1">
      <alignment horizontal="left"/>
    </xf>
    <xf numFmtId="165" fontId="13" fillId="0" borderId="26" xfId="0" applyNumberFormat="1" applyFont="1" applyBorder="1"/>
    <xf numFmtId="0" fontId="14" fillId="0" borderId="40" xfId="0" applyFont="1" applyBorder="1" applyAlignment="1">
      <alignment horizontal="left" vertical="center" wrapText="1"/>
    </xf>
    <xf numFmtId="165" fontId="13" fillId="0" borderId="48" xfId="0" applyNumberFormat="1" applyFont="1" applyBorder="1"/>
    <xf numFmtId="165" fontId="14" fillId="0" borderId="27" xfId="0" applyNumberFormat="1" applyFont="1" applyBorder="1"/>
    <xf numFmtId="0" fontId="14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left" indent="1"/>
    </xf>
    <xf numFmtId="0" fontId="21" fillId="0" borderId="0" xfId="0" applyFont="1"/>
    <xf numFmtId="0" fontId="13" fillId="0" borderId="23" xfId="0" applyFont="1" applyBorder="1"/>
    <xf numFmtId="0" fontId="14" fillId="0" borderId="23" xfId="0" applyFont="1" applyBorder="1" applyAlignment="1">
      <alignment horizontal="left"/>
    </xf>
    <xf numFmtId="0" fontId="14" fillId="0" borderId="24" xfId="0" applyFont="1" applyBorder="1"/>
    <xf numFmtId="0" fontId="14" fillId="0" borderId="24" xfId="0" applyFont="1" applyBorder="1" applyAlignment="1">
      <alignment horizontal="left"/>
    </xf>
    <xf numFmtId="0" fontId="13" fillId="0" borderId="25" xfId="0" applyFont="1" applyBorder="1"/>
    <xf numFmtId="0" fontId="14" fillId="0" borderId="50" xfId="0" applyFont="1" applyBorder="1" applyAlignment="1">
      <alignment horizontal="center" vertical="center"/>
    </xf>
    <xf numFmtId="0" fontId="13" fillId="0" borderId="52" xfId="0" applyFont="1" applyBorder="1" applyAlignment="1">
      <alignment horizontal="left"/>
    </xf>
    <xf numFmtId="0" fontId="13" fillId="0" borderId="52" xfId="0" applyFont="1" applyBorder="1" applyAlignment="1">
      <alignment horizontal="left" vertical="center" wrapText="1"/>
    </xf>
    <xf numFmtId="164" fontId="13" fillId="0" borderId="12" xfId="0" applyNumberFormat="1" applyFont="1" applyBorder="1" applyAlignment="1">
      <alignment horizontal="left"/>
    </xf>
    <xf numFmtId="164" fontId="13" fillId="0" borderId="7" xfId="0" applyNumberFormat="1" applyFont="1" applyBorder="1"/>
    <xf numFmtId="10" fontId="13" fillId="0" borderId="33" xfId="1" applyNumberFormat="1" applyFont="1" applyBorder="1"/>
    <xf numFmtId="0" fontId="13" fillId="0" borderId="29" xfId="0" applyFont="1" applyBorder="1" applyAlignment="1">
      <alignment horizontal="left"/>
    </xf>
    <xf numFmtId="0" fontId="13" fillId="0" borderId="29" xfId="0" applyFont="1" applyBorder="1" applyAlignment="1">
      <alignment horizontal="left" vertical="center" wrapText="1"/>
    </xf>
    <xf numFmtId="164" fontId="13" fillId="0" borderId="19" xfId="0" applyNumberFormat="1" applyFont="1" applyBorder="1" applyAlignment="1">
      <alignment horizontal="left"/>
    </xf>
    <xf numFmtId="10" fontId="13" fillId="0" borderId="42" xfId="1" applyNumberFormat="1" applyFont="1" applyBorder="1"/>
    <xf numFmtId="0" fontId="13" fillId="0" borderId="29" xfId="0" applyFont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 wrapText="1"/>
    </xf>
    <xf numFmtId="0" fontId="13" fillId="0" borderId="49" xfId="0" applyFont="1" applyBorder="1" applyAlignment="1">
      <alignment horizontal="left"/>
    </xf>
    <xf numFmtId="164" fontId="13" fillId="0" borderId="20" xfId="0" applyNumberFormat="1" applyFont="1" applyBorder="1" applyAlignment="1">
      <alignment horizontal="left"/>
    </xf>
    <xf numFmtId="10" fontId="13" fillId="0" borderId="44" xfId="1" applyNumberFormat="1" applyFont="1" applyBorder="1"/>
    <xf numFmtId="0" fontId="14" fillId="0" borderId="64" xfId="0" applyFont="1" applyBorder="1" applyAlignment="1"/>
    <xf numFmtId="0" fontId="14" fillId="0" borderId="65" xfId="0" applyFont="1" applyBorder="1" applyAlignment="1"/>
    <xf numFmtId="164" fontId="14" fillId="0" borderId="39" xfId="0" applyNumberFormat="1" applyFont="1" applyBorder="1" applyAlignment="1">
      <alignment horizontal="left"/>
    </xf>
    <xf numFmtId="164" fontId="14" fillId="0" borderId="27" xfId="0" applyNumberFormat="1" applyFont="1" applyBorder="1" applyAlignment="1">
      <alignment horizontal="left"/>
    </xf>
    <xf numFmtId="10" fontId="14" fillId="0" borderId="35" xfId="1" applyNumberFormat="1" applyFont="1" applyBorder="1"/>
    <xf numFmtId="0" fontId="13" fillId="0" borderId="0" xfId="0" applyFont="1" applyBorder="1"/>
    <xf numFmtId="0" fontId="14" fillId="0" borderId="0" xfId="0" applyFont="1" applyFill="1"/>
    <xf numFmtId="0" fontId="13" fillId="0" borderId="24" xfId="0" applyFont="1" applyBorder="1"/>
    <xf numFmtId="0" fontId="14" fillId="0" borderId="3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/>
    </xf>
    <xf numFmtId="10" fontId="13" fillId="0" borderId="7" xfId="1" applyNumberFormat="1" applyFont="1" applyBorder="1"/>
    <xf numFmtId="10" fontId="13" fillId="0" borderId="26" xfId="1" applyNumberFormat="1" applyFont="1" applyBorder="1"/>
    <xf numFmtId="10" fontId="13" fillId="0" borderId="48" xfId="1" applyNumberFormat="1" applyFont="1" applyBorder="1"/>
    <xf numFmtId="0" fontId="13" fillId="0" borderId="36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164" fontId="14" fillId="0" borderId="27" xfId="0" applyNumberFormat="1" applyFont="1" applyBorder="1" applyAlignment="1">
      <alignment horizontal="center"/>
    </xf>
    <xf numFmtId="0" fontId="14" fillId="0" borderId="0" xfId="0" applyFont="1"/>
    <xf numFmtId="164" fontId="13" fillId="0" borderId="45" xfId="0" applyNumberFormat="1" applyFont="1" applyBorder="1"/>
    <xf numFmtId="10" fontId="13" fillId="0" borderId="52" xfId="1" applyNumberFormat="1" applyFont="1" applyBorder="1"/>
    <xf numFmtId="10" fontId="13" fillId="0" borderId="29" xfId="1" applyNumberFormat="1" applyFont="1" applyBorder="1"/>
    <xf numFmtId="0" fontId="13" fillId="0" borderId="29" xfId="0" applyFont="1" applyFill="1" applyBorder="1" applyAlignment="1">
      <alignment horizontal="left"/>
    </xf>
    <xf numFmtId="10" fontId="13" fillId="0" borderId="29" xfId="1" applyNumberFormat="1" applyFont="1" applyFill="1" applyBorder="1"/>
    <xf numFmtId="0" fontId="13" fillId="0" borderId="29" xfId="0" applyFont="1" applyFill="1" applyBorder="1" applyAlignment="1">
      <alignment horizontal="left" vertical="center"/>
    </xf>
    <xf numFmtId="164" fontId="13" fillId="0" borderId="41" xfId="0" applyNumberFormat="1" applyFont="1" applyBorder="1"/>
    <xf numFmtId="10" fontId="13" fillId="0" borderId="49" xfId="1" applyNumberFormat="1" applyFont="1" applyBorder="1"/>
    <xf numFmtId="0" fontId="13" fillId="0" borderId="35" xfId="0" applyFont="1" applyBorder="1" applyAlignment="1">
      <alignment horizontal="left"/>
    </xf>
    <xf numFmtId="164" fontId="14" fillId="0" borderId="46" xfId="0" applyNumberFormat="1" applyFont="1" applyBorder="1" applyAlignment="1">
      <alignment horizontal="left"/>
    </xf>
    <xf numFmtId="10" fontId="13" fillId="0" borderId="30" xfId="1" applyNumberFormat="1" applyFont="1" applyBorder="1"/>
    <xf numFmtId="164" fontId="13" fillId="0" borderId="21" xfId="0" applyNumberFormat="1" applyFont="1" applyFill="1" applyBorder="1"/>
    <xf numFmtId="10" fontId="13" fillId="0" borderId="37" xfId="1" applyNumberFormat="1" applyFont="1" applyBorder="1"/>
    <xf numFmtId="10" fontId="14" fillId="0" borderId="27" xfId="1" applyNumberFormat="1" applyFont="1" applyBorder="1"/>
    <xf numFmtId="0" fontId="13" fillId="0" borderId="30" xfId="0" applyFont="1" applyBorder="1"/>
    <xf numFmtId="10" fontId="13" fillId="0" borderId="26" xfId="1" applyNumberFormat="1" applyFont="1" applyFill="1" applyBorder="1"/>
    <xf numFmtId="164" fontId="13" fillId="0" borderId="17" xfId="0" applyNumberFormat="1" applyFont="1" applyBorder="1"/>
    <xf numFmtId="164" fontId="13" fillId="0" borderId="17" xfId="0" applyNumberFormat="1" applyFont="1" applyBorder="1" applyAlignment="1">
      <alignment horizontal="center"/>
    </xf>
    <xf numFmtId="164" fontId="14" fillId="0" borderId="38" xfId="0" applyNumberFormat="1" applyFont="1" applyBorder="1" applyAlignment="1">
      <alignment horizontal="left"/>
    </xf>
    <xf numFmtId="164" fontId="14" fillId="0" borderId="5" xfId="0" applyNumberFormat="1" applyFont="1" applyBorder="1" applyAlignment="1">
      <alignment horizontal="left"/>
    </xf>
    <xf numFmtId="164" fontId="14" fillId="0" borderId="47" xfId="0" applyNumberFormat="1" applyFont="1" applyBorder="1" applyAlignment="1">
      <alignment horizontal="left"/>
    </xf>
    <xf numFmtId="0" fontId="13" fillId="0" borderId="23" xfId="0" applyFont="1" applyFill="1" applyBorder="1"/>
    <xf numFmtId="0" fontId="14" fillId="0" borderId="23" xfId="0" applyFont="1" applyFill="1" applyBorder="1" applyAlignment="1">
      <alignment horizontal="left"/>
    </xf>
    <xf numFmtId="0" fontId="14" fillId="0" borderId="24" xfId="0" applyFont="1" applyFill="1" applyBorder="1"/>
    <xf numFmtId="0" fontId="14" fillId="0" borderId="24" xfId="0" applyFont="1" applyFill="1" applyBorder="1" applyAlignment="1">
      <alignment horizontal="left"/>
    </xf>
    <xf numFmtId="0" fontId="13" fillId="0" borderId="24" xfId="0" applyFont="1" applyFill="1" applyBorder="1"/>
    <xf numFmtId="0" fontId="13" fillId="0" borderId="25" xfId="0" applyFont="1" applyFill="1" applyBorder="1"/>
    <xf numFmtId="0" fontId="14" fillId="0" borderId="50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left"/>
    </xf>
    <xf numFmtId="0" fontId="13" fillId="0" borderId="52" xfId="0" applyFont="1" applyFill="1" applyBorder="1" applyAlignment="1">
      <alignment horizontal="left" vertical="center" wrapText="1"/>
    </xf>
    <xf numFmtId="164" fontId="13" fillId="0" borderId="12" xfId="0" applyNumberFormat="1" applyFont="1" applyFill="1" applyBorder="1" applyAlignment="1">
      <alignment horizontal="left"/>
    </xf>
    <xf numFmtId="164" fontId="13" fillId="0" borderId="6" xfId="0" applyNumberFormat="1" applyFont="1" applyFill="1" applyBorder="1"/>
    <xf numFmtId="164" fontId="13" fillId="0" borderId="6" xfId="0" applyNumberFormat="1" applyFont="1" applyFill="1" applyBorder="1" applyAlignment="1">
      <alignment horizontal="center"/>
    </xf>
    <xf numFmtId="164" fontId="13" fillId="0" borderId="45" xfId="0" applyNumberFormat="1" applyFont="1" applyFill="1" applyBorder="1"/>
    <xf numFmtId="10" fontId="13" fillId="0" borderId="30" xfId="1" applyNumberFormat="1" applyFont="1" applyFill="1" applyBorder="1"/>
    <xf numFmtId="164" fontId="13" fillId="0" borderId="0" xfId="0" applyNumberFormat="1" applyFont="1" applyFill="1"/>
    <xf numFmtId="164" fontId="13" fillId="0" borderId="41" xfId="0" applyNumberFormat="1" applyFont="1" applyFill="1" applyBorder="1"/>
    <xf numFmtId="10" fontId="13" fillId="0" borderId="0" xfId="0" applyNumberFormat="1" applyFont="1" applyFill="1"/>
    <xf numFmtId="0" fontId="13" fillId="0" borderId="36" xfId="0" applyFont="1" applyFill="1" applyBorder="1" applyAlignment="1">
      <alignment horizontal="left"/>
    </xf>
    <xf numFmtId="164" fontId="13" fillId="0" borderId="22" xfId="0" applyNumberFormat="1" applyFont="1" applyFill="1" applyBorder="1" applyAlignment="1">
      <alignment horizontal="left"/>
    </xf>
    <xf numFmtId="164" fontId="13" fillId="0" borderId="17" xfId="0" applyNumberFormat="1" applyFont="1" applyFill="1" applyBorder="1"/>
    <xf numFmtId="164" fontId="13" fillId="0" borderId="17" xfId="0" applyNumberFormat="1" applyFont="1" applyFill="1" applyBorder="1" applyAlignment="1">
      <alignment horizontal="center"/>
    </xf>
    <xf numFmtId="164" fontId="13" fillId="0" borderId="55" xfId="0" applyNumberFormat="1" applyFont="1" applyFill="1" applyBorder="1"/>
    <xf numFmtId="10" fontId="13" fillId="0" borderId="48" xfId="1" applyNumberFormat="1" applyFont="1" applyFill="1" applyBorder="1"/>
    <xf numFmtId="164" fontId="14" fillId="0" borderId="31" xfId="0" applyNumberFormat="1" applyFont="1" applyFill="1" applyBorder="1" applyAlignment="1">
      <alignment horizontal="left"/>
    </xf>
    <xf numFmtId="164" fontId="14" fillId="0" borderId="5" xfId="0" applyNumberFormat="1" applyFont="1" applyFill="1" applyBorder="1" applyAlignment="1">
      <alignment horizontal="left"/>
    </xf>
    <xf numFmtId="164" fontId="14" fillId="0" borderId="47" xfId="0" applyNumberFormat="1" applyFont="1" applyFill="1" applyBorder="1" applyAlignment="1">
      <alignment horizontal="left"/>
    </xf>
    <xf numFmtId="10" fontId="14" fillId="0" borderId="27" xfId="1" applyNumberFormat="1" applyFont="1" applyFill="1" applyBorder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left"/>
    </xf>
    <xf numFmtId="0" fontId="13" fillId="0" borderId="53" xfId="0" applyFont="1" applyBorder="1" applyAlignment="1">
      <alignment horizontal="left" vertical="center" wrapText="1"/>
    </xf>
    <xf numFmtId="164" fontId="13" fillId="0" borderId="18" xfId="0" applyNumberFormat="1" applyFont="1" applyBorder="1" applyAlignment="1">
      <alignment horizontal="left"/>
    </xf>
    <xf numFmtId="164" fontId="13" fillId="0" borderId="14" xfId="0" applyNumberFormat="1" applyFont="1" applyBorder="1"/>
    <xf numFmtId="164" fontId="13" fillId="0" borderId="14" xfId="0" applyNumberFormat="1" applyFont="1" applyBorder="1" applyAlignment="1">
      <alignment horizontal="center"/>
    </xf>
    <xf numFmtId="164" fontId="13" fillId="0" borderId="57" xfId="0" applyNumberFormat="1" applyFont="1" applyBorder="1"/>
    <xf numFmtId="164" fontId="13" fillId="0" borderId="55" xfId="0" applyNumberFormat="1" applyFont="1" applyBorder="1"/>
    <xf numFmtId="0" fontId="3" fillId="0" borderId="14" xfId="0" applyFont="1" applyBorder="1" applyAlignment="1">
      <alignment horizontal="center"/>
    </xf>
    <xf numFmtId="1" fontId="14" fillId="0" borderId="4" xfId="0" applyNumberFormat="1" applyFont="1" applyBorder="1"/>
    <xf numFmtId="1" fontId="14" fillId="0" borderId="63" xfId="0" applyNumberFormat="1" applyFont="1" applyBorder="1"/>
    <xf numFmtId="1" fontId="14" fillId="0" borderId="26" xfId="0" applyNumberFormat="1" applyFont="1" applyBorder="1"/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3" fillId="0" borderId="1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3" fillId="0" borderId="5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5" fillId="0" borderId="5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" fillId="0" borderId="60" xfId="0" applyFont="1" applyBorder="1" applyAlignment="1">
      <alignment horizontal="center"/>
    </xf>
    <xf numFmtId="0" fontId="3" fillId="0" borderId="66" xfId="0" applyFont="1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61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5" fillId="0" borderId="30" xfId="0" applyFont="1" applyFill="1" applyBorder="1" applyAlignment="1">
      <alignment horizontal="center" vertical="top" wrapText="1"/>
    </xf>
    <xf numFmtId="0" fontId="15" fillId="0" borderId="26" xfId="0" applyFont="1" applyFill="1" applyBorder="1" applyAlignment="1">
      <alignment horizontal="center" vertical="top" wrapText="1"/>
    </xf>
    <xf numFmtId="0" fontId="14" fillId="0" borderId="5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wrapText="1"/>
    </xf>
    <xf numFmtId="0" fontId="14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30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10" fillId="0" borderId="32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4" fillId="0" borderId="58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66" fontId="13" fillId="0" borderId="0" xfId="0" applyNumberFormat="1" applyFont="1" applyAlignment="1">
      <alignment horizontal="left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15" fontId="13" fillId="0" borderId="0" xfId="0" applyNumberFormat="1" applyFont="1" applyAlignment="1">
      <alignment horizontal="left"/>
    </xf>
    <xf numFmtId="0" fontId="14" fillId="0" borderId="4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4" fillId="0" borderId="35" xfId="0" applyFont="1" applyBorder="1" applyAlignment="1">
      <alignment horizontal="left"/>
    </xf>
    <xf numFmtId="0" fontId="14" fillId="0" borderId="26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left"/>
    </xf>
    <xf numFmtId="166" fontId="13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/>
    </xf>
    <xf numFmtId="165" fontId="2" fillId="0" borderId="26" xfId="0" applyNumberFormat="1" applyFont="1" applyBorder="1" applyAlignment="1">
      <alignment horizontal="right" wrapText="1"/>
    </xf>
    <xf numFmtId="0" fontId="2" fillId="0" borderId="9" xfId="0" applyFont="1" applyBorder="1" applyAlignment="1">
      <alignment horizontal="right"/>
    </xf>
    <xf numFmtId="165" fontId="2" fillId="0" borderId="48" xfId="0" applyNumberFormat="1" applyFont="1" applyBorder="1" applyAlignment="1">
      <alignment horizontal="right" wrapText="1"/>
    </xf>
    <xf numFmtId="1" fontId="3" fillId="0" borderId="34" xfId="0" applyNumberFormat="1" applyFont="1" applyBorder="1" applyAlignment="1">
      <alignment horizontal="right"/>
    </xf>
    <xf numFmtId="1" fontId="3" fillId="0" borderId="46" xfId="0" applyNumberFormat="1" applyFont="1" applyBorder="1" applyAlignment="1">
      <alignment horizontal="center"/>
    </xf>
    <xf numFmtId="165" fontId="3" fillId="0" borderId="27" xfId="0" applyNumberFormat="1" applyFont="1" applyBorder="1" applyAlignment="1">
      <alignment horizontal="right" wrapText="1"/>
    </xf>
    <xf numFmtId="1" fontId="2" fillId="0" borderId="45" xfId="0" applyNumberFormat="1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1" fontId="3" fillId="0" borderId="34" xfId="0" applyNumberFormat="1" applyFont="1" applyBorder="1" applyAlignment="1">
      <alignment wrapText="1"/>
    </xf>
    <xf numFmtId="1" fontId="3" fillId="0" borderId="34" xfId="0" applyNumberFormat="1" applyFont="1" applyFill="1" applyBorder="1" applyAlignment="1">
      <alignment wrapText="1"/>
    </xf>
    <xf numFmtId="1" fontId="3" fillId="0" borderId="46" xfId="0" applyNumberFormat="1" applyFont="1" applyBorder="1" applyAlignment="1">
      <alignment wrapText="1"/>
    </xf>
    <xf numFmtId="165" fontId="3" fillId="0" borderId="27" xfId="0" applyNumberFormat="1" applyFont="1" applyBorder="1" applyAlignment="1">
      <alignment wrapText="1"/>
    </xf>
  </cellXfs>
  <cellStyles count="4">
    <cellStyle name="Calculation" xfId="3" builtinId="22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opLeftCell="H16" workbookViewId="0">
      <selection activeCell="M27" sqref="M27"/>
    </sheetView>
  </sheetViews>
  <sheetFormatPr defaultRowHeight="12.75"/>
  <cols>
    <col min="1" max="1" width="16" customWidth="1"/>
    <col min="2" max="2" width="9.140625" bestFit="1" customWidth="1"/>
    <col min="3" max="3" width="7.7109375" customWidth="1"/>
    <col min="4" max="4" width="8.42578125" customWidth="1"/>
    <col min="5" max="5" width="7.28515625" customWidth="1"/>
    <col min="6" max="6" width="6.28515625" customWidth="1"/>
    <col min="7" max="7" width="7" customWidth="1"/>
    <col min="8" max="8" width="7.5703125" customWidth="1"/>
    <col min="9" max="9" width="8.140625" customWidth="1"/>
    <col min="10" max="10" width="7.85546875" customWidth="1"/>
    <col min="11" max="11" width="8.5703125" customWidth="1"/>
    <col min="12" max="12" width="7.42578125" customWidth="1"/>
    <col min="13" max="13" width="6.5703125" customWidth="1"/>
    <col min="14" max="14" width="7" customWidth="1"/>
    <col min="15" max="15" width="7.7109375" customWidth="1"/>
    <col min="16" max="16" width="7.5703125" bestFit="1" customWidth="1"/>
    <col min="17" max="17" width="7.5703125" style="166" bestFit="1" customWidth="1"/>
    <col min="18" max="18" width="10.42578125" customWidth="1"/>
  </cols>
  <sheetData>
    <row r="1" spans="1:22">
      <c r="A1" s="67" t="s">
        <v>94</v>
      </c>
      <c r="P1" s="473"/>
      <c r="Q1" s="473"/>
      <c r="R1" s="473"/>
    </row>
    <row r="2" spans="1:22">
      <c r="A2" s="24"/>
      <c r="B2" s="27"/>
      <c r="C2" s="27"/>
      <c r="D2" s="39" t="s">
        <v>93</v>
      </c>
      <c r="E2" s="39"/>
      <c r="F2" s="39"/>
      <c r="G2" s="39"/>
      <c r="H2" s="39"/>
      <c r="I2" s="39"/>
      <c r="J2" s="39"/>
      <c r="K2" s="39"/>
      <c r="L2" s="39"/>
      <c r="M2" s="39"/>
      <c r="N2" s="27"/>
      <c r="O2" s="27"/>
      <c r="P2" s="27"/>
      <c r="Q2" s="194"/>
      <c r="R2" s="27"/>
    </row>
    <row r="3" spans="1:22">
      <c r="A3" s="27"/>
      <c r="B3" s="27"/>
      <c r="C3" s="27"/>
      <c r="D3" s="73" t="s">
        <v>127</v>
      </c>
      <c r="E3" s="39"/>
      <c r="F3" s="39"/>
      <c r="G3" s="39"/>
      <c r="H3" s="39"/>
      <c r="I3" s="39"/>
      <c r="J3" s="39"/>
      <c r="K3" s="39"/>
      <c r="L3" s="39"/>
      <c r="M3" s="39"/>
      <c r="N3" s="27"/>
      <c r="O3" s="27"/>
      <c r="P3" s="27"/>
      <c r="Q3" s="194"/>
      <c r="R3" s="27"/>
    </row>
    <row r="4" spans="1:22" ht="13.5" thickBot="1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95"/>
      <c r="R4" s="1"/>
    </row>
    <row r="5" spans="1:22">
      <c r="A5" s="477" t="s">
        <v>0</v>
      </c>
      <c r="B5" s="472" t="s">
        <v>8</v>
      </c>
      <c r="C5" s="472"/>
      <c r="D5" s="472"/>
      <c r="E5" s="472"/>
      <c r="F5" s="472"/>
      <c r="G5" s="472"/>
      <c r="H5" s="472"/>
      <c r="I5" s="472" t="s">
        <v>9</v>
      </c>
      <c r="J5" s="472"/>
      <c r="K5" s="472"/>
      <c r="L5" s="472"/>
      <c r="M5" s="472"/>
      <c r="N5" s="472"/>
      <c r="O5" s="472"/>
      <c r="P5" s="479" t="s">
        <v>116</v>
      </c>
      <c r="Q5" s="480"/>
      <c r="R5" s="475" t="s">
        <v>115</v>
      </c>
    </row>
    <row r="6" spans="1:22" ht="18" customHeight="1">
      <c r="A6" s="478"/>
      <c r="B6" s="76" t="s">
        <v>1</v>
      </c>
      <c r="C6" s="76" t="s">
        <v>2</v>
      </c>
      <c r="D6" s="76" t="s">
        <v>3</v>
      </c>
      <c r="E6" s="76" t="s">
        <v>4</v>
      </c>
      <c r="F6" s="76" t="s">
        <v>5</v>
      </c>
      <c r="G6" s="76" t="s">
        <v>6</v>
      </c>
      <c r="H6" s="76" t="s">
        <v>10</v>
      </c>
      <c r="I6" s="77" t="s">
        <v>1</v>
      </c>
      <c r="J6" s="77" t="s">
        <v>2</v>
      </c>
      <c r="K6" s="77" t="s">
        <v>3</v>
      </c>
      <c r="L6" s="77" t="s">
        <v>4</v>
      </c>
      <c r="M6" s="77" t="s">
        <v>5</v>
      </c>
      <c r="N6" s="77" t="s">
        <v>6</v>
      </c>
      <c r="O6" s="77" t="s">
        <v>10</v>
      </c>
      <c r="P6" s="77">
        <v>2020</v>
      </c>
      <c r="Q6" s="196">
        <v>2019</v>
      </c>
      <c r="R6" s="476"/>
    </row>
    <row r="7" spans="1:22" ht="15.95" customHeight="1">
      <c r="A7" s="14" t="s">
        <v>19</v>
      </c>
      <c r="B7" s="25">
        <v>1633</v>
      </c>
      <c r="C7" s="25">
        <v>1461</v>
      </c>
      <c r="D7" s="25">
        <v>3821</v>
      </c>
      <c r="E7" s="25">
        <v>1726</v>
      </c>
      <c r="F7" s="25">
        <v>2003</v>
      </c>
      <c r="G7" s="277">
        <f t="shared" ref="G7:G12" si="0">SUM(B7:F7)</f>
        <v>10644</v>
      </c>
      <c r="H7" s="78">
        <f t="shared" ref="H7:H12" si="1">+G7/P7</f>
        <v>0.418034718403896</v>
      </c>
      <c r="I7" s="25">
        <v>2067</v>
      </c>
      <c r="J7" s="25">
        <v>2053</v>
      </c>
      <c r="K7" s="25">
        <v>5411</v>
      </c>
      <c r="L7" s="25">
        <v>2213</v>
      </c>
      <c r="M7" s="25">
        <v>3074</v>
      </c>
      <c r="N7" s="277">
        <f t="shared" ref="N7:N12" si="2">SUM(I7:M7)</f>
        <v>14818</v>
      </c>
      <c r="O7" s="78">
        <f t="shared" ref="O7:O12" si="3">+N7/P7</f>
        <v>0.58196528159610394</v>
      </c>
      <c r="P7" s="277">
        <f t="shared" ref="P7:P12" si="4">+G7+N7</f>
        <v>25462</v>
      </c>
      <c r="Q7" s="277">
        <v>27522</v>
      </c>
      <c r="R7" s="71">
        <f>+(P7/Q7)-1</f>
        <v>-7.4849211539859017E-2</v>
      </c>
      <c r="T7" s="182"/>
      <c r="U7" s="153"/>
      <c r="V7" s="182"/>
    </row>
    <row r="8" spans="1:22" ht="15.95" customHeight="1">
      <c r="A8" s="14" t="s">
        <v>20</v>
      </c>
      <c r="B8" s="25">
        <v>1589</v>
      </c>
      <c r="C8" s="25">
        <v>1440</v>
      </c>
      <c r="D8" s="25">
        <v>3714</v>
      </c>
      <c r="E8" s="25">
        <v>1719</v>
      </c>
      <c r="F8" s="25">
        <v>1921</v>
      </c>
      <c r="G8" s="277">
        <f t="shared" si="0"/>
        <v>10383</v>
      </c>
      <c r="H8" s="78">
        <f t="shared" si="1"/>
        <v>0.41475593193257171</v>
      </c>
      <c r="I8" s="25">
        <v>2003</v>
      </c>
      <c r="J8" s="25">
        <v>2090</v>
      </c>
      <c r="K8" s="25">
        <v>5318</v>
      </c>
      <c r="L8" s="25">
        <v>2243</v>
      </c>
      <c r="M8" s="25">
        <v>2997</v>
      </c>
      <c r="N8" s="277">
        <f t="shared" si="2"/>
        <v>14651</v>
      </c>
      <c r="O8" s="78">
        <f t="shared" si="3"/>
        <v>0.58524406806742835</v>
      </c>
      <c r="P8" s="277">
        <f t="shared" si="4"/>
        <v>25034</v>
      </c>
      <c r="Q8" s="277">
        <v>25531</v>
      </c>
      <c r="R8" s="71">
        <f t="shared" ref="R8:R24" si="5">+(P8/Q8)-1</f>
        <v>-1.9466530884023392E-2</v>
      </c>
    </row>
    <row r="9" spans="1:22" ht="15.95" customHeight="1">
      <c r="A9" s="14" t="s">
        <v>21</v>
      </c>
      <c r="B9" s="25">
        <v>1784</v>
      </c>
      <c r="C9" s="25">
        <v>1685</v>
      </c>
      <c r="D9" s="25">
        <v>4377</v>
      </c>
      <c r="E9" s="25">
        <v>2810</v>
      </c>
      <c r="F9" s="25">
        <v>3173</v>
      </c>
      <c r="G9" s="277">
        <f t="shared" si="0"/>
        <v>13829</v>
      </c>
      <c r="H9" s="78">
        <f t="shared" si="1"/>
        <v>0.43576492831258862</v>
      </c>
      <c r="I9" s="25">
        <v>2232</v>
      </c>
      <c r="J9" s="25">
        <v>2315</v>
      </c>
      <c r="K9" s="25">
        <v>5858</v>
      </c>
      <c r="L9" s="25">
        <v>3276</v>
      </c>
      <c r="M9" s="25">
        <v>4225</v>
      </c>
      <c r="N9" s="277">
        <f t="shared" si="2"/>
        <v>17906</v>
      </c>
      <c r="O9" s="78">
        <f t="shared" si="3"/>
        <v>0.56423507168741138</v>
      </c>
      <c r="P9" s="277">
        <f t="shared" si="4"/>
        <v>31735</v>
      </c>
      <c r="Q9" s="277">
        <v>23024</v>
      </c>
      <c r="R9" s="71">
        <f t="shared" si="5"/>
        <v>0.3783443363446839</v>
      </c>
    </row>
    <row r="10" spans="1:22" ht="15.95" customHeight="1">
      <c r="A10" s="14" t="s">
        <v>22</v>
      </c>
      <c r="B10" s="25">
        <v>1775</v>
      </c>
      <c r="C10" s="25">
        <v>1336</v>
      </c>
      <c r="D10" s="25">
        <v>2674</v>
      </c>
      <c r="E10" s="25">
        <v>1676</v>
      </c>
      <c r="F10" s="25">
        <v>1433</v>
      </c>
      <c r="G10" s="277">
        <f t="shared" si="0"/>
        <v>8894</v>
      </c>
      <c r="H10" s="78">
        <f t="shared" si="1"/>
        <v>0.42489967513854388</v>
      </c>
      <c r="I10" s="25">
        <f>2200</f>
        <v>2200</v>
      </c>
      <c r="J10" s="25">
        <v>1827</v>
      </c>
      <c r="K10" s="25">
        <v>4085</v>
      </c>
      <c r="L10" s="25">
        <v>2067</v>
      </c>
      <c r="M10" s="25">
        <v>1859</v>
      </c>
      <c r="N10" s="277">
        <f>SUM(I10:M10)</f>
        <v>12038</v>
      </c>
      <c r="O10" s="78">
        <f t="shared" si="3"/>
        <v>0.57510032486145612</v>
      </c>
      <c r="P10" s="277">
        <f t="shared" si="4"/>
        <v>20932</v>
      </c>
      <c r="Q10" s="277">
        <v>19159</v>
      </c>
      <c r="R10" s="71">
        <f t="shared" si="5"/>
        <v>9.2541364371835799E-2</v>
      </c>
    </row>
    <row r="11" spans="1:22" ht="15.95" customHeight="1">
      <c r="A11" s="14" t="s">
        <v>23</v>
      </c>
      <c r="B11" s="25">
        <v>2132</v>
      </c>
      <c r="C11" s="25">
        <v>1493</v>
      </c>
      <c r="D11" s="25">
        <v>2694</v>
      </c>
      <c r="E11" s="25">
        <v>2047</v>
      </c>
      <c r="F11" s="25">
        <v>1470</v>
      </c>
      <c r="G11" s="277">
        <f t="shared" si="0"/>
        <v>9836</v>
      </c>
      <c r="H11" s="78">
        <f t="shared" si="1"/>
        <v>0.43159280386134269</v>
      </c>
      <c r="I11" s="25">
        <v>2533</v>
      </c>
      <c r="J11" s="25">
        <v>2003</v>
      </c>
      <c r="K11" s="25">
        <v>4135</v>
      </c>
      <c r="L11" s="25">
        <v>2363</v>
      </c>
      <c r="M11" s="25">
        <v>1920</v>
      </c>
      <c r="N11" s="277">
        <f t="shared" si="2"/>
        <v>12954</v>
      </c>
      <c r="O11" s="78">
        <f t="shared" si="3"/>
        <v>0.56840719613865731</v>
      </c>
      <c r="P11" s="277">
        <f t="shared" si="4"/>
        <v>22790</v>
      </c>
      <c r="Q11" s="277">
        <v>11997</v>
      </c>
      <c r="R11" s="71">
        <f t="shared" si="5"/>
        <v>0.89964157706093184</v>
      </c>
    </row>
    <row r="12" spans="1:22" ht="15.95" customHeight="1" thickBot="1">
      <c r="A12" s="59" t="s">
        <v>24</v>
      </c>
      <c r="B12" s="18">
        <v>2874</v>
      </c>
      <c r="C12" s="18">
        <v>1754</v>
      </c>
      <c r="D12" s="18">
        <v>2648</v>
      </c>
      <c r="E12" s="18">
        <v>2553</v>
      </c>
      <c r="F12" s="18">
        <v>1520</v>
      </c>
      <c r="G12" s="277">
        <f t="shared" si="0"/>
        <v>11349</v>
      </c>
      <c r="H12" s="78">
        <f t="shared" si="1"/>
        <v>0.41296121097445598</v>
      </c>
      <c r="I12" s="18">
        <v>3752</v>
      </c>
      <c r="J12" s="18">
        <v>2595</v>
      </c>
      <c r="K12" s="18">
        <v>4194</v>
      </c>
      <c r="L12" s="18">
        <v>3440</v>
      </c>
      <c r="M12" s="18">
        <v>2152</v>
      </c>
      <c r="N12" s="277">
        <f t="shared" si="2"/>
        <v>16133</v>
      </c>
      <c r="O12" s="78">
        <f t="shared" si="3"/>
        <v>0.58703878902554396</v>
      </c>
      <c r="P12" s="288">
        <f t="shared" si="4"/>
        <v>27482</v>
      </c>
      <c r="Q12" s="288">
        <v>11607</v>
      </c>
      <c r="R12" s="307">
        <f t="shared" si="5"/>
        <v>1.3677091410355819</v>
      </c>
    </row>
    <row r="13" spans="1:22" ht="15.95" customHeight="1">
      <c r="A13" s="474" t="s">
        <v>44</v>
      </c>
      <c r="B13" s="145"/>
      <c r="C13" s="145"/>
      <c r="D13" s="145"/>
      <c r="E13" s="145"/>
      <c r="F13" s="145"/>
      <c r="G13" s="278"/>
      <c r="H13" s="145"/>
      <c r="I13" s="145"/>
      <c r="J13" s="145"/>
      <c r="K13" s="145"/>
      <c r="L13" s="145"/>
      <c r="M13" s="145"/>
      <c r="N13" s="278"/>
      <c r="O13" s="145"/>
      <c r="P13" s="278"/>
      <c r="Q13" s="278"/>
      <c r="R13" s="309"/>
    </row>
    <row r="14" spans="1:22" ht="19.5" customHeight="1" thickBot="1">
      <c r="A14" s="471"/>
      <c r="B14" s="147">
        <f t="shared" ref="B14:M14" si="6">AVERAGE(B7:B12)</f>
        <v>1964.5</v>
      </c>
      <c r="C14" s="147">
        <f t="shared" si="6"/>
        <v>1528.1666666666667</v>
      </c>
      <c r="D14" s="147">
        <f t="shared" si="6"/>
        <v>3321.3333333333335</v>
      </c>
      <c r="E14" s="147">
        <f t="shared" si="6"/>
        <v>2088.5</v>
      </c>
      <c r="F14" s="147">
        <f t="shared" si="6"/>
        <v>1920</v>
      </c>
      <c r="G14" s="147">
        <f t="shared" si="6"/>
        <v>10822.5</v>
      </c>
      <c r="H14" s="313">
        <f>G14/P14</f>
        <v>0.42320852478248117</v>
      </c>
      <c r="I14" s="147">
        <f t="shared" si="6"/>
        <v>2464.5</v>
      </c>
      <c r="J14" s="147">
        <f t="shared" si="6"/>
        <v>2147.1666666666665</v>
      </c>
      <c r="K14" s="147">
        <f t="shared" si="6"/>
        <v>4833.5</v>
      </c>
      <c r="L14" s="147">
        <f t="shared" si="6"/>
        <v>2600.3333333333335</v>
      </c>
      <c r="M14" s="147">
        <f t="shared" si="6"/>
        <v>2704.5</v>
      </c>
      <c r="N14" s="147">
        <f>AVERAGE(N7:N12)</f>
        <v>14750</v>
      </c>
      <c r="O14" s="313">
        <f>N14/P14</f>
        <v>0.57679147521751883</v>
      </c>
      <c r="P14" s="147">
        <f>AVERAGE(P7:P12)</f>
        <v>25572.5</v>
      </c>
      <c r="Q14" s="147">
        <f>AVERAGE(Q7:Q12)</f>
        <v>19806.666666666668</v>
      </c>
      <c r="R14" s="314">
        <f t="shared" si="5"/>
        <v>0.29110568832043082</v>
      </c>
    </row>
    <row r="15" spans="1:22" ht="15.95" customHeight="1">
      <c r="A15" s="58" t="s">
        <v>25</v>
      </c>
      <c r="B15" s="26">
        <v>3167</v>
      </c>
      <c r="C15" s="26">
        <v>1837</v>
      </c>
      <c r="D15" s="26">
        <v>2311</v>
      </c>
      <c r="E15" s="26">
        <v>2697</v>
      </c>
      <c r="F15" s="26">
        <v>1551</v>
      </c>
      <c r="G15" s="279">
        <f>SUM(B15:F15)</f>
        <v>11563</v>
      </c>
      <c r="H15" s="78">
        <f>G15/P15</f>
        <v>0.38995683259139352</v>
      </c>
      <c r="I15" s="26">
        <v>4664</v>
      </c>
      <c r="J15" s="26">
        <v>2963</v>
      </c>
      <c r="K15" s="26">
        <v>3801</v>
      </c>
      <c r="L15" s="26">
        <v>4292</v>
      </c>
      <c r="M15" s="26">
        <v>2369</v>
      </c>
      <c r="N15" s="282">
        <f t="shared" ref="N15:N19" si="7">SUM(I15:M15)</f>
        <v>18089</v>
      </c>
      <c r="O15" s="235">
        <f t="shared" ref="O15:O20" si="8">N15/P15</f>
        <v>0.61004316740860653</v>
      </c>
      <c r="P15" s="311">
        <f>SUM(N15,G15)</f>
        <v>29652</v>
      </c>
      <c r="Q15" s="311">
        <v>13540</v>
      </c>
      <c r="R15" s="312">
        <f t="shared" si="5"/>
        <v>1.1899556868537666</v>
      </c>
    </row>
    <row r="16" spans="1:22" ht="15.95" customHeight="1">
      <c r="A16" s="14" t="s">
        <v>7</v>
      </c>
      <c r="B16" s="25">
        <v>3174</v>
      </c>
      <c r="C16" s="25">
        <v>1768</v>
      </c>
      <c r="D16" s="25">
        <v>2043</v>
      </c>
      <c r="E16" s="25">
        <v>2709</v>
      </c>
      <c r="F16" s="25">
        <v>1574</v>
      </c>
      <c r="G16" s="279">
        <f t="shared" ref="G16:G20" si="9">SUM(B16:F16)</f>
        <v>11268</v>
      </c>
      <c r="H16" s="78">
        <f>G16/P16</f>
        <v>0.38359148936170212</v>
      </c>
      <c r="I16" s="25">
        <v>4989</v>
      </c>
      <c r="J16" s="25">
        <v>2955</v>
      </c>
      <c r="K16" s="25">
        <v>3361</v>
      </c>
      <c r="L16" s="25">
        <v>4388</v>
      </c>
      <c r="M16" s="25">
        <v>2414</v>
      </c>
      <c r="N16" s="282">
        <f t="shared" si="7"/>
        <v>18107</v>
      </c>
      <c r="O16" s="78">
        <f t="shared" si="8"/>
        <v>0.61640851063829782</v>
      </c>
      <c r="P16" s="310">
        <f>SUM(N16,G16)</f>
        <v>29375</v>
      </c>
      <c r="Q16" s="310">
        <v>13499</v>
      </c>
      <c r="R16" s="308">
        <f t="shared" si="5"/>
        <v>1.176087117564264</v>
      </c>
    </row>
    <row r="17" spans="1:24" ht="15.95" customHeight="1">
      <c r="A17" s="14" t="s">
        <v>26</v>
      </c>
      <c r="B17" s="25">
        <v>3320</v>
      </c>
      <c r="C17" s="25">
        <v>1719</v>
      </c>
      <c r="D17" s="25">
        <v>2059</v>
      </c>
      <c r="E17" s="25">
        <v>2674</v>
      </c>
      <c r="F17" s="25">
        <v>1348</v>
      </c>
      <c r="G17" s="279">
        <f t="shared" si="9"/>
        <v>11120</v>
      </c>
      <c r="H17" s="78">
        <f>G17/P17</f>
        <v>0.3909710990788271</v>
      </c>
      <c r="I17" s="25">
        <v>4948</v>
      </c>
      <c r="J17" s="25">
        <v>2902</v>
      </c>
      <c r="K17" s="25">
        <v>3297</v>
      </c>
      <c r="L17" s="25">
        <v>4114</v>
      </c>
      <c r="M17" s="25">
        <v>2061</v>
      </c>
      <c r="N17" s="282">
        <f t="shared" si="7"/>
        <v>17322</v>
      </c>
      <c r="O17" s="78">
        <f>N17/P17</f>
        <v>0.6090289009211729</v>
      </c>
      <c r="P17" s="282">
        <f>SUM(N17,G17)</f>
        <v>28442</v>
      </c>
      <c r="Q17" s="282">
        <v>13794</v>
      </c>
      <c r="R17" s="71">
        <f t="shared" si="5"/>
        <v>1.0619109757865739</v>
      </c>
      <c r="U17" s="179"/>
    </row>
    <row r="18" spans="1:24" ht="15.95" customHeight="1">
      <c r="A18" s="14" t="s">
        <v>27</v>
      </c>
      <c r="B18" s="25">
        <v>3283</v>
      </c>
      <c r="C18" s="25">
        <v>1741</v>
      </c>
      <c r="D18" s="25">
        <v>2073</v>
      </c>
      <c r="E18" s="25">
        <v>2760</v>
      </c>
      <c r="F18" s="25">
        <v>1282</v>
      </c>
      <c r="G18" s="279">
        <f t="shared" si="9"/>
        <v>11139</v>
      </c>
      <c r="H18" s="78">
        <f>G18/P18</f>
        <v>0.4112608454864316</v>
      </c>
      <c r="I18" s="25">
        <v>4432</v>
      </c>
      <c r="J18" s="25">
        <v>2622</v>
      </c>
      <c r="K18" s="25">
        <v>3201</v>
      </c>
      <c r="L18" s="25">
        <v>3844</v>
      </c>
      <c r="M18" s="25">
        <v>1847</v>
      </c>
      <c r="N18" s="282">
        <f t="shared" si="7"/>
        <v>15946</v>
      </c>
      <c r="O18" s="78">
        <f t="shared" si="8"/>
        <v>0.5887391545135684</v>
      </c>
      <c r="P18" s="282">
        <f t="shared" ref="P18:P20" si="10">SUM(N18,G18)</f>
        <v>27085</v>
      </c>
      <c r="Q18" s="282">
        <v>10365</v>
      </c>
      <c r="R18" s="71">
        <f t="shared" si="5"/>
        <v>1.6131210805595755</v>
      </c>
    </row>
    <row r="19" spans="1:24" ht="15.95" customHeight="1">
      <c r="A19" s="14" t="s">
        <v>28</v>
      </c>
      <c r="B19" s="25">
        <v>3378</v>
      </c>
      <c r="C19" s="25">
        <v>1877</v>
      </c>
      <c r="D19" s="25">
        <v>1987</v>
      </c>
      <c r="E19" s="25">
        <v>2876</v>
      </c>
      <c r="F19" s="25">
        <v>1396</v>
      </c>
      <c r="G19" s="279">
        <f t="shared" si="9"/>
        <v>11514</v>
      </c>
      <c r="H19" s="78">
        <f t="shared" ref="H19:H20" si="11">G19/P19</f>
        <v>0.42329326127715894</v>
      </c>
      <c r="I19" s="25">
        <v>4140</v>
      </c>
      <c r="J19" s="25">
        <v>2698</v>
      </c>
      <c r="K19" s="25">
        <v>3147</v>
      </c>
      <c r="L19" s="25">
        <v>3777</v>
      </c>
      <c r="M19" s="25">
        <v>1925</v>
      </c>
      <c r="N19" s="282">
        <f t="shared" si="7"/>
        <v>15687</v>
      </c>
      <c r="O19" s="78">
        <f t="shared" si="8"/>
        <v>0.57670673872284106</v>
      </c>
      <c r="P19" s="282">
        <f t="shared" si="10"/>
        <v>27201</v>
      </c>
      <c r="Q19" s="282">
        <v>19794</v>
      </c>
      <c r="R19" s="71">
        <f t="shared" si="5"/>
        <v>0.3742043043346468</v>
      </c>
    </row>
    <row r="20" spans="1:24" ht="15.95" customHeight="1" thickBot="1">
      <c r="A20" s="59" t="s">
        <v>29</v>
      </c>
      <c r="B20" s="18">
        <v>3286</v>
      </c>
      <c r="C20" s="18">
        <v>1858</v>
      </c>
      <c r="D20" s="18">
        <v>1696</v>
      </c>
      <c r="E20" s="18">
        <v>2745</v>
      </c>
      <c r="F20" s="18">
        <v>1553</v>
      </c>
      <c r="G20" s="279">
        <f t="shared" si="9"/>
        <v>11138</v>
      </c>
      <c r="H20" s="78">
        <f t="shared" si="11"/>
        <v>0.43093708891124349</v>
      </c>
      <c r="I20" s="25">
        <v>4070</v>
      </c>
      <c r="J20" s="18">
        <v>2592</v>
      </c>
      <c r="K20" s="18">
        <v>2545</v>
      </c>
      <c r="L20" s="18">
        <v>3531</v>
      </c>
      <c r="M20" s="18">
        <v>1970</v>
      </c>
      <c r="N20" s="282">
        <f>SUM(I20:M20)</f>
        <v>14708</v>
      </c>
      <c r="O20" s="78">
        <f t="shared" si="8"/>
        <v>0.56906291108875651</v>
      </c>
      <c r="P20" s="282">
        <f t="shared" si="10"/>
        <v>25846</v>
      </c>
      <c r="Q20" s="282">
        <v>23669</v>
      </c>
      <c r="R20" s="307">
        <f t="shared" si="5"/>
        <v>9.1976847353077762E-2</v>
      </c>
    </row>
    <row r="21" spans="1:24" ht="15.95" customHeight="1">
      <c r="A21" s="474" t="s">
        <v>42</v>
      </c>
      <c r="B21" s="152"/>
      <c r="C21" s="152"/>
      <c r="D21" s="152"/>
      <c r="E21" s="152"/>
      <c r="F21" s="152"/>
      <c r="G21" s="280"/>
      <c r="H21" s="146"/>
      <c r="I21" s="152"/>
      <c r="J21" s="152"/>
      <c r="K21" s="152"/>
      <c r="L21" s="152"/>
      <c r="M21" s="152"/>
      <c r="N21" s="280"/>
      <c r="O21" s="146"/>
      <c r="P21" s="280"/>
      <c r="Q21" s="198"/>
      <c r="R21" s="309"/>
    </row>
    <row r="22" spans="1:24" ht="21.75" customHeight="1" thickBot="1">
      <c r="A22" s="471"/>
      <c r="B22" s="147">
        <f>AVERAGE(B15:B20)</f>
        <v>3268</v>
      </c>
      <c r="C22" s="147">
        <f t="shared" ref="C22:Q22" si="12">AVERAGE(C15:C20)</f>
        <v>1800</v>
      </c>
      <c r="D22" s="147">
        <f t="shared" si="12"/>
        <v>2028.1666666666667</v>
      </c>
      <c r="E22" s="147">
        <f t="shared" si="12"/>
        <v>2743.5</v>
      </c>
      <c r="F22" s="147">
        <f t="shared" si="12"/>
        <v>1450.6666666666667</v>
      </c>
      <c r="G22" s="147">
        <f t="shared" si="12"/>
        <v>11290.333333333334</v>
      </c>
      <c r="H22" s="313">
        <f>G22/P22</f>
        <v>0.4041861325409753</v>
      </c>
      <c r="I22" s="147">
        <f t="shared" si="12"/>
        <v>4540.5</v>
      </c>
      <c r="J22" s="147">
        <f t="shared" si="12"/>
        <v>2788.6666666666665</v>
      </c>
      <c r="K22" s="147">
        <f t="shared" si="12"/>
        <v>3225.3333333333335</v>
      </c>
      <c r="L22" s="147">
        <f t="shared" si="12"/>
        <v>3991</v>
      </c>
      <c r="M22" s="147">
        <f t="shared" si="12"/>
        <v>2097.6666666666665</v>
      </c>
      <c r="N22" s="147">
        <f t="shared" si="12"/>
        <v>16643.166666666668</v>
      </c>
      <c r="O22" s="313">
        <f>N22/P22</f>
        <v>0.59581386745902476</v>
      </c>
      <c r="P22" s="147">
        <f t="shared" si="12"/>
        <v>27933.5</v>
      </c>
      <c r="Q22" s="147">
        <f t="shared" si="12"/>
        <v>15776.833333333334</v>
      </c>
      <c r="R22" s="148">
        <f t="shared" si="5"/>
        <v>0.77053908156474149</v>
      </c>
    </row>
    <row r="23" spans="1:24" ht="15.95" customHeight="1">
      <c r="A23" s="470" t="s">
        <v>47</v>
      </c>
      <c r="B23" s="149"/>
      <c r="C23" s="149"/>
      <c r="D23" s="149"/>
      <c r="E23" s="149"/>
      <c r="F23" s="149"/>
      <c r="G23" s="281"/>
      <c r="H23" s="149"/>
      <c r="I23" s="150"/>
      <c r="J23" s="150"/>
      <c r="K23" s="150"/>
      <c r="L23" s="150"/>
      <c r="M23" s="150"/>
      <c r="N23" s="283"/>
      <c r="O23" s="151"/>
      <c r="P23" s="283"/>
      <c r="Q23" s="293"/>
      <c r="R23" s="309"/>
      <c r="V23" s="249"/>
    </row>
    <row r="24" spans="1:24" ht="18.75" customHeight="1" thickBot="1">
      <c r="A24" s="471"/>
      <c r="B24" s="147">
        <f>AVERAGE(B22,B14)</f>
        <v>2616.25</v>
      </c>
      <c r="C24" s="147">
        <f t="shared" ref="C24:N24" si="13">AVERAGE(C22,C14)</f>
        <v>1664.0833333333335</v>
      </c>
      <c r="D24" s="147">
        <f>AVERAGE(D22,D14)</f>
        <v>2674.75</v>
      </c>
      <c r="E24" s="147">
        <f>AVERAGE(E22,E14)</f>
        <v>2416</v>
      </c>
      <c r="F24" s="147">
        <f t="shared" si="13"/>
        <v>1685.3333333333335</v>
      </c>
      <c r="G24" s="147">
        <f t="shared" si="13"/>
        <v>11056.416666666668</v>
      </c>
      <c r="H24" s="313">
        <f>G24/P24</f>
        <v>0.4132776386448872</v>
      </c>
      <c r="I24" s="147">
        <f t="shared" si="13"/>
        <v>3502.5</v>
      </c>
      <c r="J24" s="147">
        <f t="shared" si="13"/>
        <v>2467.9166666666665</v>
      </c>
      <c r="K24" s="147">
        <f t="shared" si="13"/>
        <v>4029.416666666667</v>
      </c>
      <c r="L24" s="147">
        <f t="shared" si="13"/>
        <v>3295.666666666667</v>
      </c>
      <c r="M24" s="147">
        <f t="shared" si="13"/>
        <v>2401.083333333333</v>
      </c>
      <c r="N24" s="147">
        <f t="shared" si="13"/>
        <v>15696.583333333334</v>
      </c>
      <c r="O24" s="313">
        <f>N24/P24</f>
        <v>0.5867223613551128</v>
      </c>
      <c r="P24" s="147">
        <f>AVERAGE(P22,P14)</f>
        <v>26753</v>
      </c>
      <c r="Q24" s="197">
        <f>AVERAGE(Q22,Q14)</f>
        <v>17791.75</v>
      </c>
      <c r="R24" s="148">
        <f t="shared" si="5"/>
        <v>0.5036744558573496</v>
      </c>
      <c r="X24" t="s">
        <v>123</v>
      </c>
    </row>
    <row r="25" spans="1:2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99"/>
      <c r="R25" s="6"/>
    </row>
    <row r="26" spans="1:24">
      <c r="A26" s="21"/>
      <c r="B26" s="2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24"/>
      <c r="O26" s="1"/>
      <c r="P26" s="1"/>
      <c r="Q26" s="195"/>
      <c r="R26" s="1"/>
    </row>
    <row r="27" spans="1:24">
      <c r="A27" s="1"/>
      <c r="B27" s="5"/>
      <c r="C27" s="3"/>
      <c r="D27" s="2"/>
      <c r="E27" s="2"/>
      <c r="F27" s="1"/>
      <c r="G27" s="1"/>
      <c r="H27" s="1"/>
      <c r="I27" s="1"/>
      <c r="J27" s="1"/>
      <c r="K27" s="1"/>
      <c r="L27" s="4"/>
      <c r="M27" s="4"/>
      <c r="N27" s="24" t="s">
        <v>31</v>
      </c>
      <c r="O27" s="32"/>
      <c r="P27" s="32"/>
      <c r="Q27" s="200"/>
      <c r="R27" s="24"/>
    </row>
    <row r="28" spans="1:24">
      <c r="A28" s="234">
        <v>44243</v>
      </c>
      <c r="B28" s="4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24" t="s">
        <v>11</v>
      </c>
      <c r="O28" s="32"/>
      <c r="P28" s="32"/>
      <c r="Q28" s="200"/>
      <c r="R28" s="24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95"/>
      <c r="R29" s="1"/>
    </row>
    <row r="30" spans="1:24">
      <c r="N30" s="1"/>
      <c r="O30" s="1"/>
      <c r="P30" s="1"/>
      <c r="Q30" s="195"/>
      <c r="R30" s="1"/>
    </row>
  </sheetData>
  <mergeCells count="9">
    <mergeCell ref="A23:A24"/>
    <mergeCell ref="B5:H5"/>
    <mergeCell ref="I5:O5"/>
    <mergeCell ref="P1:R1"/>
    <mergeCell ref="A13:A14"/>
    <mergeCell ref="A21:A22"/>
    <mergeCell ref="R5:R6"/>
    <mergeCell ref="A5:A6"/>
    <mergeCell ref="P5:Q5"/>
  </mergeCells>
  <phoneticPr fontId="0" type="noConversion"/>
  <pageMargins left="0" right="0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topLeftCell="B25" zoomScale="80" zoomScaleNormal="80" workbookViewId="0">
      <selection activeCell="H41" sqref="H41"/>
    </sheetView>
  </sheetViews>
  <sheetFormatPr defaultRowHeight="12"/>
  <cols>
    <col min="1" max="1" width="4.85546875" style="28" customWidth="1"/>
    <col min="2" max="2" width="59.140625" style="28" customWidth="1"/>
    <col min="3" max="3" width="13.28515625" style="28" customWidth="1"/>
    <col min="4" max="4" width="13.85546875" style="28" customWidth="1"/>
    <col min="5" max="5" width="12.42578125" style="28" customWidth="1"/>
    <col min="6" max="6" width="11.42578125" style="28" customWidth="1"/>
    <col min="7" max="7" width="11.28515625" style="28" bestFit="1" customWidth="1"/>
    <col min="8" max="8" width="11.85546875" style="28" customWidth="1"/>
    <col min="9" max="13" width="9.140625" style="28"/>
    <col min="14" max="14" width="10.5703125" style="28" bestFit="1" customWidth="1"/>
    <col min="15" max="16384" width="9.140625" style="28"/>
  </cols>
  <sheetData>
    <row r="1" spans="1:14">
      <c r="A1" s="332" t="s">
        <v>106</v>
      </c>
    </row>
    <row r="2" spans="1:14" ht="6.75" customHeight="1">
      <c r="A2" s="366"/>
    </row>
    <row r="3" spans="1:14" ht="27.75" customHeight="1">
      <c r="A3" s="541" t="s">
        <v>133</v>
      </c>
      <c r="B3" s="541"/>
      <c r="C3" s="541"/>
      <c r="D3" s="541"/>
      <c r="E3" s="541"/>
      <c r="F3" s="541"/>
      <c r="G3" s="541"/>
      <c r="H3" s="541"/>
    </row>
    <row r="4" spans="1:14" ht="12" customHeight="1" thickBot="1">
      <c r="A4" s="540"/>
      <c r="B4" s="540"/>
      <c r="C4" s="540"/>
      <c r="D4" s="540"/>
    </row>
    <row r="5" spans="1:14">
      <c r="A5" s="367"/>
      <c r="B5" s="368"/>
      <c r="C5" s="553" t="s">
        <v>59</v>
      </c>
      <c r="D5" s="544"/>
      <c r="E5" s="544"/>
      <c r="F5" s="544"/>
      <c r="G5" s="544"/>
      <c r="H5" s="545"/>
    </row>
    <row r="6" spans="1:14">
      <c r="A6" s="369" t="s">
        <v>60</v>
      </c>
      <c r="B6" s="370" t="s">
        <v>61</v>
      </c>
      <c r="C6" s="554" t="s">
        <v>62</v>
      </c>
      <c r="D6" s="548"/>
      <c r="E6" s="548" t="s">
        <v>63</v>
      </c>
      <c r="F6" s="548"/>
      <c r="G6" s="542" t="s">
        <v>6</v>
      </c>
      <c r="H6" s="551" t="s">
        <v>112</v>
      </c>
    </row>
    <row r="7" spans="1:14" ht="24.75" customHeight="1" thickBot="1">
      <c r="A7" s="371"/>
      <c r="B7" s="371"/>
      <c r="C7" s="372" t="s">
        <v>64</v>
      </c>
      <c r="D7" s="323" t="s">
        <v>65</v>
      </c>
      <c r="E7" s="323" t="s">
        <v>65</v>
      </c>
      <c r="F7" s="323" t="s">
        <v>66</v>
      </c>
      <c r="G7" s="555"/>
      <c r="H7" s="552"/>
    </row>
    <row r="8" spans="1:14" ht="15" customHeight="1">
      <c r="A8" s="373">
        <v>1</v>
      </c>
      <c r="B8" s="374" t="s">
        <v>67</v>
      </c>
      <c r="C8" s="375">
        <v>0</v>
      </c>
      <c r="D8" s="108">
        <v>0</v>
      </c>
      <c r="E8" s="50">
        <v>1</v>
      </c>
      <c r="F8" s="50">
        <v>89</v>
      </c>
      <c r="G8" s="376">
        <f>SUM(C8+D8+E8+F8)</f>
        <v>90</v>
      </c>
      <c r="H8" s="377">
        <f>G8/G31</f>
        <v>4.2996369195490158E-3</v>
      </c>
    </row>
    <row r="9" spans="1:14" ht="15" customHeight="1">
      <c r="A9" s="378">
        <v>2</v>
      </c>
      <c r="B9" s="379" t="s">
        <v>68</v>
      </c>
      <c r="C9" s="380">
        <v>0</v>
      </c>
      <c r="D9" s="48">
        <v>0</v>
      </c>
      <c r="E9" s="49">
        <v>0</v>
      </c>
      <c r="F9" s="49">
        <v>26</v>
      </c>
      <c r="G9" s="376">
        <f t="shared" ref="G9:G30" si="0">SUM(C9+D9+E9+F9)</f>
        <v>26</v>
      </c>
      <c r="H9" s="381">
        <f>G9/G31</f>
        <v>1.2421173323141602E-3</v>
      </c>
    </row>
    <row r="10" spans="1:14" ht="15" customHeight="1">
      <c r="A10" s="378">
        <v>3</v>
      </c>
      <c r="B10" s="379" t="s">
        <v>69</v>
      </c>
      <c r="C10" s="380">
        <v>18</v>
      </c>
      <c r="D10" s="48">
        <v>0</v>
      </c>
      <c r="E10" s="49">
        <v>1</v>
      </c>
      <c r="F10" s="49">
        <v>983</v>
      </c>
      <c r="G10" s="376">
        <f>SUM(C10+D10+E10+F10)</f>
        <v>1002</v>
      </c>
      <c r="H10" s="381">
        <f>G10/G31</f>
        <v>4.7869291037645707E-2</v>
      </c>
    </row>
    <row r="11" spans="1:14" ht="15" customHeight="1">
      <c r="A11" s="378">
        <v>4</v>
      </c>
      <c r="B11" s="379" t="s">
        <v>70</v>
      </c>
      <c r="C11" s="68">
        <v>0</v>
      </c>
      <c r="D11" s="53">
        <v>0</v>
      </c>
      <c r="E11" s="54">
        <v>0</v>
      </c>
      <c r="F11" s="49">
        <v>7</v>
      </c>
      <c r="G11" s="376">
        <f t="shared" si="0"/>
        <v>7</v>
      </c>
      <c r="H11" s="381">
        <f>G11/G31</f>
        <v>3.3441620485381233E-4</v>
      </c>
    </row>
    <row r="12" spans="1:14" ht="26.25" customHeight="1">
      <c r="A12" s="378">
        <v>5</v>
      </c>
      <c r="B12" s="379" t="s">
        <v>71</v>
      </c>
      <c r="C12" s="380">
        <v>0</v>
      </c>
      <c r="D12" s="48">
        <v>0</v>
      </c>
      <c r="E12" s="49">
        <v>0</v>
      </c>
      <c r="F12" s="49">
        <v>6</v>
      </c>
      <c r="G12" s="376">
        <f t="shared" si="0"/>
        <v>6</v>
      </c>
      <c r="H12" s="381">
        <f>G12/G31</f>
        <v>2.866424613032677E-4</v>
      </c>
    </row>
    <row r="13" spans="1:14" ht="15" customHeight="1">
      <c r="A13" s="378">
        <v>6</v>
      </c>
      <c r="B13" s="379" t="s">
        <v>72</v>
      </c>
      <c r="C13" s="69">
        <v>0</v>
      </c>
      <c r="D13" s="108">
        <v>1</v>
      </c>
      <c r="E13" s="50">
        <v>10</v>
      </c>
      <c r="F13" s="50">
        <f>792+1</f>
        <v>793</v>
      </c>
      <c r="G13" s="376">
        <f t="shared" si="0"/>
        <v>804</v>
      </c>
      <c r="H13" s="381">
        <f>G13/G31</f>
        <v>3.8410089814637872E-2</v>
      </c>
    </row>
    <row r="14" spans="1:14" ht="24.75" customHeight="1">
      <c r="A14" s="378">
        <v>7</v>
      </c>
      <c r="B14" s="379" t="s">
        <v>73</v>
      </c>
      <c r="C14" s="68">
        <v>0</v>
      </c>
      <c r="D14" s="48">
        <v>5</v>
      </c>
      <c r="E14" s="49">
        <v>41</v>
      </c>
      <c r="F14" s="49">
        <f>3214+2</f>
        <v>3216</v>
      </c>
      <c r="G14" s="376">
        <f t="shared" si="0"/>
        <v>3262</v>
      </c>
      <c r="H14" s="381">
        <f>G14/G31</f>
        <v>0.15583795146187654</v>
      </c>
    </row>
    <row r="15" spans="1:14" ht="15" customHeight="1">
      <c r="A15" s="378">
        <v>8</v>
      </c>
      <c r="B15" s="379" t="s">
        <v>74</v>
      </c>
      <c r="C15" s="68">
        <v>0</v>
      </c>
      <c r="D15" s="48">
        <v>0</v>
      </c>
      <c r="E15" s="48">
        <v>17</v>
      </c>
      <c r="F15" s="49">
        <v>978</v>
      </c>
      <c r="G15" s="376">
        <f t="shared" si="0"/>
        <v>995</v>
      </c>
      <c r="H15" s="381">
        <f>G15/G31</f>
        <v>4.7534874832791896E-2</v>
      </c>
    </row>
    <row r="16" spans="1:14" ht="25.5" customHeight="1">
      <c r="A16" s="378">
        <v>9</v>
      </c>
      <c r="B16" s="379" t="s">
        <v>75</v>
      </c>
      <c r="C16" s="380">
        <v>0</v>
      </c>
      <c r="D16" s="48">
        <v>333</v>
      </c>
      <c r="E16" s="49">
        <v>4675</v>
      </c>
      <c r="F16" s="49">
        <f>3416+5</f>
        <v>3421</v>
      </c>
      <c r="G16" s="376">
        <f t="shared" si="0"/>
        <v>8429</v>
      </c>
      <c r="H16" s="381">
        <f>G16/G31</f>
        <v>0.40268488438754063</v>
      </c>
      <c r="N16" s="342"/>
    </row>
    <row r="17" spans="1:8" ht="15" customHeight="1">
      <c r="A17" s="378">
        <v>10</v>
      </c>
      <c r="B17" s="379" t="s">
        <v>76</v>
      </c>
      <c r="C17" s="380">
        <v>0</v>
      </c>
      <c r="D17" s="48">
        <v>1</v>
      </c>
      <c r="E17" s="49">
        <v>1</v>
      </c>
      <c r="F17" s="49">
        <v>362</v>
      </c>
      <c r="G17" s="376">
        <f t="shared" si="0"/>
        <v>364</v>
      </c>
      <c r="H17" s="381">
        <f>G17/G31</f>
        <v>1.7389642652398243E-2</v>
      </c>
    </row>
    <row r="18" spans="1:8" ht="15" customHeight="1">
      <c r="A18" s="378">
        <v>11</v>
      </c>
      <c r="B18" s="379" t="s">
        <v>77</v>
      </c>
      <c r="C18" s="380">
        <v>0</v>
      </c>
      <c r="D18" s="48">
        <v>0</v>
      </c>
      <c r="E18" s="49">
        <v>1</v>
      </c>
      <c r="F18" s="49">
        <f>913+1</f>
        <v>914</v>
      </c>
      <c r="G18" s="376">
        <f t="shared" si="0"/>
        <v>915</v>
      </c>
      <c r="H18" s="381">
        <f>G18/G31</f>
        <v>4.371297534874833E-2</v>
      </c>
    </row>
    <row r="19" spans="1:8" ht="15" customHeight="1">
      <c r="A19" s="378">
        <v>12</v>
      </c>
      <c r="B19" s="379" t="s">
        <v>78</v>
      </c>
      <c r="C19" s="380">
        <v>0</v>
      </c>
      <c r="D19" s="48">
        <v>4</v>
      </c>
      <c r="E19" s="49">
        <v>8</v>
      </c>
      <c r="F19" s="49">
        <v>188</v>
      </c>
      <c r="G19" s="376">
        <f t="shared" si="0"/>
        <v>200</v>
      </c>
      <c r="H19" s="381">
        <f>G19/G31</f>
        <v>9.5547487101089248E-3</v>
      </c>
    </row>
    <row r="20" spans="1:8" ht="15" customHeight="1">
      <c r="A20" s="378">
        <v>13</v>
      </c>
      <c r="B20" s="379" t="s">
        <v>79</v>
      </c>
      <c r="C20" s="380">
        <v>0</v>
      </c>
      <c r="D20" s="48">
        <v>0</v>
      </c>
      <c r="E20" s="49">
        <v>3</v>
      </c>
      <c r="F20" s="49">
        <f>830+1</f>
        <v>831</v>
      </c>
      <c r="G20" s="376">
        <f t="shared" si="0"/>
        <v>834</v>
      </c>
      <c r="H20" s="381">
        <f>G20/G31</f>
        <v>3.9843302121154216E-2</v>
      </c>
    </row>
    <row r="21" spans="1:8" ht="15" customHeight="1">
      <c r="A21" s="378">
        <v>14</v>
      </c>
      <c r="B21" s="379" t="s">
        <v>80</v>
      </c>
      <c r="C21" s="380">
        <v>0</v>
      </c>
      <c r="D21" s="48">
        <v>1</v>
      </c>
      <c r="E21" s="49">
        <v>22</v>
      </c>
      <c r="F21" s="49">
        <f>890+2</f>
        <v>892</v>
      </c>
      <c r="G21" s="376">
        <f t="shared" si="0"/>
        <v>915</v>
      </c>
      <c r="H21" s="381">
        <f>G21/G31</f>
        <v>4.371297534874833E-2</v>
      </c>
    </row>
    <row r="22" spans="1:8" ht="15" customHeight="1">
      <c r="A22" s="382">
        <v>15</v>
      </c>
      <c r="B22" s="379" t="s">
        <v>81</v>
      </c>
      <c r="C22" s="380">
        <v>0</v>
      </c>
      <c r="D22" s="48">
        <v>0</v>
      </c>
      <c r="E22" s="49">
        <v>1</v>
      </c>
      <c r="F22" s="49">
        <f>543+1</f>
        <v>544</v>
      </c>
      <c r="G22" s="376">
        <f t="shared" si="0"/>
        <v>545</v>
      </c>
      <c r="H22" s="381">
        <f>G22/G31</f>
        <v>2.6036690235046817E-2</v>
      </c>
    </row>
    <row r="23" spans="1:8" ht="15" customHeight="1">
      <c r="A23" s="378">
        <v>16</v>
      </c>
      <c r="B23" s="379" t="s">
        <v>82</v>
      </c>
      <c r="C23" s="380">
        <v>0</v>
      </c>
      <c r="D23" s="48">
        <v>2</v>
      </c>
      <c r="E23" s="49">
        <v>0</v>
      </c>
      <c r="F23" s="49">
        <f>358+1</f>
        <v>359</v>
      </c>
      <c r="G23" s="376">
        <f t="shared" si="0"/>
        <v>361</v>
      </c>
      <c r="H23" s="381">
        <f>G23/G31</f>
        <v>1.7246321421746608E-2</v>
      </c>
    </row>
    <row r="24" spans="1:8" ht="26.25" customHeight="1">
      <c r="A24" s="382">
        <v>17</v>
      </c>
      <c r="B24" s="379" t="s">
        <v>83</v>
      </c>
      <c r="C24" s="380">
        <v>0</v>
      </c>
      <c r="D24" s="48">
        <v>0</v>
      </c>
      <c r="E24" s="49">
        <v>2</v>
      </c>
      <c r="F24" s="49">
        <v>275</v>
      </c>
      <c r="G24" s="376">
        <f t="shared" si="0"/>
        <v>277</v>
      </c>
      <c r="H24" s="381">
        <f>G24/G31</f>
        <v>1.3233326963500859E-2</v>
      </c>
    </row>
    <row r="25" spans="1:8" ht="15" customHeight="1">
      <c r="A25" s="378">
        <v>18</v>
      </c>
      <c r="B25" s="383" t="s">
        <v>84</v>
      </c>
      <c r="C25" s="380">
        <v>0</v>
      </c>
      <c r="D25" s="48">
        <v>1</v>
      </c>
      <c r="E25" s="49">
        <v>12</v>
      </c>
      <c r="F25" s="49">
        <v>440</v>
      </c>
      <c r="G25" s="376">
        <f t="shared" si="0"/>
        <v>453</v>
      </c>
      <c r="H25" s="381">
        <f>G25/G31</f>
        <v>2.1641505828396714E-2</v>
      </c>
    </row>
    <row r="26" spans="1:8" ht="15" customHeight="1">
      <c r="A26" s="378">
        <v>19</v>
      </c>
      <c r="B26" s="383" t="s">
        <v>85</v>
      </c>
      <c r="C26" s="380">
        <v>0</v>
      </c>
      <c r="D26" s="48">
        <v>1</v>
      </c>
      <c r="E26" s="49">
        <v>12</v>
      </c>
      <c r="F26" s="49">
        <v>437</v>
      </c>
      <c r="G26" s="376">
        <f t="shared" si="0"/>
        <v>450</v>
      </c>
      <c r="H26" s="381">
        <f>G26/G31</f>
        <v>2.1498184597745079E-2</v>
      </c>
    </row>
    <row r="27" spans="1:8" ht="37.5" customHeight="1">
      <c r="A27" s="382">
        <v>20</v>
      </c>
      <c r="B27" s="383" t="s">
        <v>86</v>
      </c>
      <c r="C27" s="380">
        <v>0</v>
      </c>
      <c r="D27" s="48">
        <v>0</v>
      </c>
      <c r="E27" s="49">
        <v>0</v>
      </c>
      <c r="F27" s="49">
        <v>26</v>
      </c>
      <c r="G27" s="376">
        <f t="shared" si="0"/>
        <v>26</v>
      </c>
      <c r="H27" s="381">
        <f>G27/G31</f>
        <v>1.2421173323141602E-3</v>
      </c>
    </row>
    <row r="28" spans="1:8" ht="15" customHeight="1">
      <c r="A28" s="378">
        <v>21</v>
      </c>
      <c r="B28" s="383" t="s">
        <v>87</v>
      </c>
      <c r="C28" s="380">
        <v>0</v>
      </c>
      <c r="D28" s="48">
        <v>0</v>
      </c>
      <c r="E28" s="49">
        <v>0</v>
      </c>
      <c r="F28" s="49">
        <v>11</v>
      </c>
      <c r="G28" s="376">
        <f t="shared" si="0"/>
        <v>11</v>
      </c>
      <c r="H28" s="381">
        <f>G28/G31</f>
        <v>5.2551117905599084E-4</v>
      </c>
    </row>
    <row r="29" spans="1:8" ht="15" customHeight="1">
      <c r="A29" s="378">
        <v>22</v>
      </c>
      <c r="B29" s="378" t="s">
        <v>88</v>
      </c>
      <c r="C29" s="380">
        <v>0</v>
      </c>
      <c r="D29" s="48">
        <v>4</v>
      </c>
      <c r="E29" s="49">
        <v>10</v>
      </c>
      <c r="F29" s="49">
        <f>933+8</f>
        <v>941</v>
      </c>
      <c r="G29" s="376">
        <f t="shared" si="0"/>
        <v>955</v>
      </c>
      <c r="H29" s="381">
        <f>G29/G31</f>
        <v>4.5623925090770109E-2</v>
      </c>
    </row>
    <row r="30" spans="1:8" ht="15" customHeight="1" thickBot="1">
      <c r="A30" s="384">
        <v>23</v>
      </c>
      <c r="B30" s="384" t="s">
        <v>89</v>
      </c>
      <c r="C30" s="385">
        <v>0</v>
      </c>
      <c r="D30" s="56">
        <v>0</v>
      </c>
      <c r="E30" s="331">
        <v>0</v>
      </c>
      <c r="F30" s="49">
        <v>5</v>
      </c>
      <c r="G30" s="376">
        <f t="shared" si="0"/>
        <v>5</v>
      </c>
      <c r="H30" s="386">
        <f>G30/G31</f>
        <v>2.388687177527231E-4</v>
      </c>
    </row>
    <row r="31" spans="1:8" ht="15" customHeight="1" thickBot="1">
      <c r="A31" s="387" t="s">
        <v>6</v>
      </c>
      <c r="B31" s="388"/>
      <c r="C31" s="389">
        <f>SUM(C8:C30)</f>
        <v>18</v>
      </c>
      <c r="D31" s="353">
        <f>SUM(D8:D30)</f>
        <v>353</v>
      </c>
      <c r="E31" s="353">
        <f t="shared" ref="E31:H31" si="1">SUM(E8:E30)</f>
        <v>4817</v>
      </c>
      <c r="F31" s="353">
        <f t="shared" si="1"/>
        <v>15744</v>
      </c>
      <c r="G31" s="390">
        <f>SUM(G8:G30)</f>
        <v>20932</v>
      </c>
      <c r="H31" s="391">
        <f t="shared" si="1"/>
        <v>1</v>
      </c>
    </row>
    <row r="32" spans="1:8">
      <c r="F32" s="57"/>
      <c r="G32" s="42"/>
      <c r="H32" s="392"/>
    </row>
    <row r="33" spans="1:9">
      <c r="A33" s="28" t="s">
        <v>142</v>
      </c>
      <c r="G33" s="57" t="s">
        <v>12</v>
      </c>
      <c r="H33" s="57"/>
      <c r="I33" s="392"/>
    </row>
    <row r="34" spans="1:9">
      <c r="A34" s="61"/>
      <c r="B34" s="321">
        <v>44005</v>
      </c>
      <c r="C34" s="321"/>
      <c r="D34" s="61"/>
      <c r="G34" s="57" t="s">
        <v>90</v>
      </c>
      <c r="H34" s="57"/>
      <c r="I34" s="392"/>
    </row>
    <row r="35" spans="1:9">
      <c r="H35" s="392"/>
    </row>
    <row r="36" spans="1:9">
      <c r="H36" s="392"/>
    </row>
  </sheetData>
  <mergeCells count="7">
    <mergeCell ref="A3:H3"/>
    <mergeCell ref="H6:H7"/>
    <mergeCell ref="C5:H5"/>
    <mergeCell ref="A4:D4"/>
    <mergeCell ref="C6:D6"/>
    <mergeCell ref="E6:F6"/>
    <mergeCell ref="G6:G7"/>
  </mergeCells>
  <pageMargins left="0.70866141732283472" right="0.70866141732283472" top="0.35433070866141736" bottom="0.15748031496062992" header="0.31496062992125984" footer="0.31496062992125984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topLeftCell="B22" zoomScale="70" zoomScaleNormal="70" workbookViewId="0">
      <pane xSplit="1" topLeftCell="C1" activePane="topRight" state="frozen"/>
      <selection activeCell="B4" sqref="B4"/>
      <selection pane="topRight" activeCell="D9" sqref="D9"/>
    </sheetView>
  </sheetViews>
  <sheetFormatPr defaultRowHeight="12"/>
  <cols>
    <col min="1" max="1" width="5.42578125" style="28" customWidth="1"/>
    <col min="2" max="2" width="58" style="28" customWidth="1"/>
    <col min="3" max="3" width="12.85546875" style="28" bestFit="1" customWidth="1"/>
    <col min="4" max="6" width="12.7109375" style="28" customWidth="1"/>
    <col min="7" max="7" width="11" style="37" customWidth="1"/>
    <col min="8" max="8" width="13.28515625" style="28" customWidth="1"/>
    <col min="9" max="16384" width="9.140625" style="28"/>
  </cols>
  <sheetData>
    <row r="1" spans="1:8">
      <c r="A1" s="393" t="s">
        <v>107</v>
      </c>
    </row>
    <row r="2" spans="1:8">
      <c r="A2" s="366"/>
    </row>
    <row r="3" spans="1:8" ht="31.5" customHeight="1">
      <c r="A3" s="541" t="s">
        <v>134</v>
      </c>
      <c r="B3" s="541"/>
      <c r="C3" s="541"/>
      <c r="D3" s="541"/>
      <c r="E3" s="541"/>
      <c r="F3" s="541"/>
      <c r="G3" s="541"/>
    </row>
    <row r="4" spans="1:8" ht="9.75" customHeight="1" thickBot="1">
      <c r="A4" s="540"/>
      <c r="B4" s="540"/>
      <c r="C4" s="540"/>
      <c r="D4" s="540"/>
    </row>
    <row r="5" spans="1:8" ht="11.25" customHeight="1">
      <c r="A5" s="367"/>
      <c r="B5" s="368"/>
      <c r="C5" s="558" t="s">
        <v>59</v>
      </c>
      <c r="D5" s="558"/>
      <c r="E5" s="558"/>
      <c r="F5" s="558"/>
      <c r="G5" s="558"/>
      <c r="H5" s="559"/>
    </row>
    <row r="6" spans="1:8" ht="15" customHeight="1">
      <c r="A6" s="369" t="s">
        <v>60</v>
      </c>
      <c r="B6" s="370" t="s">
        <v>61</v>
      </c>
      <c r="C6" s="560" t="s">
        <v>62</v>
      </c>
      <c r="D6" s="554"/>
      <c r="E6" s="561" t="s">
        <v>63</v>
      </c>
      <c r="F6" s="554"/>
      <c r="G6" s="562" t="s">
        <v>6</v>
      </c>
      <c r="H6" s="556" t="s">
        <v>112</v>
      </c>
    </row>
    <row r="7" spans="1:8" ht="45" customHeight="1" thickBot="1">
      <c r="A7" s="394"/>
      <c r="B7" s="371"/>
      <c r="C7" s="395" t="s">
        <v>64</v>
      </c>
      <c r="D7" s="396" t="s">
        <v>65</v>
      </c>
      <c r="E7" s="396" t="s">
        <v>65</v>
      </c>
      <c r="F7" s="323" t="s">
        <v>66</v>
      </c>
      <c r="G7" s="563"/>
      <c r="H7" s="557"/>
    </row>
    <row r="8" spans="1:8" ht="18.75" customHeight="1">
      <c r="A8" s="378">
        <v>1</v>
      </c>
      <c r="B8" s="374" t="s">
        <v>67</v>
      </c>
      <c r="C8" s="375">
        <v>0</v>
      </c>
      <c r="D8" s="108">
        <v>0</v>
      </c>
      <c r="E8" s="50">
        <v>1</v>
      </c>
      <c r="F8" s="50">
        <v>106</v>
      </c>
      <c r="G8" s="397">
        <f>SUM(C8+D8+E8+F8)</f>
        <v>107</v>
      </c>
      <c r="H8" s="398">
        <f>G8/G31</f>
        <v>4.6950416849495394E-3</v>
      </c>
    </row>
    <row r="9" spans="1:8" ht="15" customHeight="1">
      <c r="A9" s="378">
        <v>2</v>
      </c>
      <c r="B9" s="379" t="s">
        <v>68</v>
      </c>
      <c r="C9" s="380">
        <v>0</v>
      </c>
      <c r="D9" s="48">
        <v>0</v>
      </c>
      <c r="E9" s="49">
        <v>0</v>
      </c>
      <c r="F9" s="49">
        <v>30</v>
      </c>
      <c r="G9" s="263">
        <f>SUM(C9+D9+E9+F9)</f>
        <v>30</v>
      </c>
      <c r="H9" s="399">
        <f>G9/G31</f>
        <v>1.3163668275559457E-3</v>
      </c>
    </row>
    <row r="10" spans="1:8" ht="15" customHeight="1">
      <c r="A10" s="378">
        <v>3</v>
      </c>
      <c r="B10" s="379" t="s">
        <v>69</v>
      </c>
      <c r="C10" s="380">
        <v>17</v>
      </c>
      <c r="D10" s="48">
        <v>0</v>
      </c>
      <c r="E10" s="49">
        <v>1</v>
      </c>
      <c r="F10" s="49">
        <v>1109</v>
      </c>
      <c r="G10" s="263">
        <f t="shared" ref="G10:G30" si="0">SUM(C10+D10+E10+F10)</f>
        <v>1127</v>
      </c>
      <c r="H10" s="399">
        <f>G10/G31</f>
        <v>4.9451513821851686E-2</v>
      </c>
    </row>
    <row r="11" spans="1:8">
      <c r="A11" s="378">
        <v>4</v>
      </c>
      <c r="B11" s="379" t="s">
        <v>70</v>
      </c>
      <c r="C11" s="68">
        <v>0</v>
      </c>
      <c r="D11" s="53">
        <v>0</v>
      </c>
      <c r="E11" s="54">
        <v>0</v>
      </c>
      <c r="F11" s="49">
        <v>8</v>
      </c>
      <c r="G11" s="263">
        <f t="shared" si="0"/>
        <v>8</v>
      </c>
      <c r="H11" s="399">
        <f>G11/G31</f>
        <v>3.5103115401491884E-4</v>
      </c>
    </row>
    <row r="12" spans="1:8" ht="24.75" customHeight="1">
      <c r="A12" s="378">
        <v>5</v>
      </c>
      <c r="B12" s="379" t="s">
        <v>71</v>
      </c>
      <c r="C12" s="380">
        <v>0</v>
      </c>
      <c r="D12" s="48">
        <v>0</v>
      </c>
      <c r="E12" s="49">
        <v>0</v>
      </c>
      <c r="F12" s="158">
        <v>7</v>
      </c>
      <c r="G12" s="263">
        <f t="shared" si="0"/>
        <v>7</v>
      </c>
      <c r="H12" s="399">
        <f>G12/G31</f>
        <v>3.0715225976305399E-4</v>
      </c>
    </row>
    <row r="13" spans="1:8" ht="15" customHeight="1">
      <c r="A13" s="378">
        <v>6</v>
      </c>
      <c r="B13" s="379" t="s">
        <v>72</v>
      </c>
      <c r="C13" s="68">
        <v>0</v>
      </c>
      <c r="D13" s="48">
        <v>2</v>
      </c>
      <c r="E13" s="49">
        <v>8</v>
      </c>
      <c r="F13" s="49">
        <v>951</v>
      </c>
      <c r="G13" s="263">
        <f t="shared" si="0"/>
        <v>961</v>
      </c>
      <c r="H13" s="399">
        <f>G13/G31</f>
        <v>4.2167617376042126E-2</v>
      </c>
    </row>
    <row r="14" spans="1:8" ht="26.25" customHeight="1">
      <c r="A14" s="378">
        <v>7</v>
      </c>
      <c r="B14" s="379" t="s">
        <v>73</v>
      </c>
      <c r="C14" s="68">
        <v>0</v>
      </c>
      <c r="D14" s="48">
        <v>10</v>
      </c>
      <c r="E14" s="49">
        <v>41</v>
      </c>
      <c r="F14" s="158">
        <f>3703+1</f>
        <v>3704</v>
      </c>
      <c r="G14" s="263">
        <f t="shared" si="0"/>
        <v>3755</v>
      </c>
      <c r="H14" s="399">
        <f>G14/G31</f>
        <v>0.16476524791575253</v>
      </c>
    </row>
    <row r="15" spans="1:8" ht="15" customHeight="1">
      <c r="A15" s="378">
        <v>8</v>
      </c>
      <c r="B15" s="379" t="s">
        <v>74</v>
      </c>
      <c r="C15" s="68">
        <v>0</v>
      </c>
      <c r="D15" s="48">
        <v>0</v>
      </c>
      <c r="E15" s="48">
        <v>18</v>
      </c>
      <c r="F15" s="49">
        <v>1129</v>
      </c>
      <c r="G15" s="263">
        <f t="shared" si="0"/>
        <v>1147</v>
      </c>
      <c r="H15" s="399">
        <f>G15/G31</f>
        <v>5.0329091706888984E-2</v>
      </c>
    </row>
    <row r="16" spans="1:8" ht="24">
      <c r="A16" s="378">
        <v>9</v>
      </c>
      <c r="B16" s="379" t="s">
        <v>75</v>
      </c>
      <c r="C16" s="380">
        <v>0</v>
      </c>
      <c r="D16" s="48">
        <v>52</v>
      </c>
      <c r="E16" s="49">
        <v>4681</v>
      </c>
      <c r="F16" s="49">
        <f>3714+1</f>
        <v>3715</v>
      </c>
      <c r="G16" s="263">
        <f t="shared" si="0"/>
        <v>8448</v>
      </c>
      <c r="H16" s="399">
        <f>G16/G31</f>
        <v>0.37068889863975429</v>
      </c>
    </row>
    <row r="17" spans="1:8" ht="15" customHeight="1">
      <c r="A17" s="378">
        <v>10</v>
      </c>
      <c r="B17" s="379" t="s">
        <v>76</v>
      </c>
      <c r="C17" s="380">
        <v>0</v>
      </c>
      <c r="D17" s="48">
        <v>0</v>
      </c>
      <c r="E17" s="49">
        <v>1</v>
      </c>
      <c r="F17" s="49">
        <v>425</v>
      </c>
      <c r="G17" s="263">
        <f t="shared" si="0"/>
        <v>426</v>
      </c>
      <c r="H17" s="399">
        <f>G17/G31</f>
        <v>1.8692408951294426E-2</v>
      </c>
    </row>
    <row r="18" spans="1:8" ht="15" customHeight="1">
      <c r="A18" s="378">
        <v>11</v>
      </c>
      <c r="B18" s="379" t="s">
        <v>77</v>
      </c>
      <c r="C18" s="380">
        <v>0</v>
      </c>
      <c r="D18" s="48">
        <v>0</v>
      </c>
      <c r="E18" s="49">
        <v>1</v>
      </c>
      <c r="F18" s="49">
        <f>1002+1</f>
        <v>1003</v>
      </c>
      <c r="G18" s="263">
        <f t="shared" si="0"/>
        <v>1004</v>
      </c>
      <c r="H18" s="399">
        <f>G18/G31</f>
        <v>4.4054409828872314E-2</v>
      </c>
    </row>
    <row r="19" spans="1:8" ht="15" customHeight="1">
      <c r="A19" s="378">
        <v>12</v>
      </c>
      <c r="B19" s="379" t="s">
        <v>78</v>
      </c>
      <c r="C19" s="380">
        <v>0</v>
      </c>
      <c r="D19" s="48">
        <v>1</v>
      </c>
      <c r="E19" s="49">
        <v>8</v>
      </c>
      <c r="F19" s="158">
        <v>203</v>
      </c>
      <c r="G19" s="263">
        <f t="shared" si="0"/>
        <v>212</v>
      </c>
      <c r="H19" s="399">
        <f>G19/G31</f>
        <v>9.3023255813953487E-3</v>
      </c>
    </row>
    <row r="20" spans="1:8" ht="15" customHeight="1">
      <c r="A20" s="378">
        <v>13</v>
      </c>
      <c r="B20" s="379" t="s">
        <v>79</v>
      </c>
      <c r="C20" s="380">
        <v>0</v>
      </c>
      <c r="D20" s="48">
        <v>0</v>
      </c>
      <c r="E20" s="49">
        <v>3</v>
      </c>
      <c r="F20" s="49">
        <v>999</v>
      </c>
      <c r="G20" s="263">
        <f t="shared" si="0"/>
        <v>1002</v>
      </c>
      <c r="H20" s="399">
        <f>G20/G31</f>
        <v>4.3966652040368585E-2</v>
      </c>
    </row>
    <row r="21" spans="1:8" ht="15" customHeight="1">
      <c r="A21" s="378">
        <v>14</v>
      </c>
      <c r="B21" s="379" t="s">
        <v>80</v>
      </c>
      <c r="C21" s="380">
        <v>0</v>
      </c>
      <c r="D21" s="48">
        <v>0</v>
      </c>
      <c r="E21" s="49">
        <v>22</v>
      </c>
      <c r="F21" s="49">
        <v>985</v>
      </c>
      <c r="G21" s="263">
        <f t="shared" si="0"/>
        <v>1007</v>
      </c>
      <c r="H21" s="399">
        <f>G21/G31</f>
        <v>4.4186046511627906E-2</v>
      </c>
    </row>
    <row r="22" spans="1:8" ht="15" customHeight="1">
      <c r="A22" s="382">
        <v>15</v>
      </c>
      <c r="B22" s="379" t="s">
        <v>81</v>
      </c>
      <c r="C22" s="380">
        <v>0</v>
      </c>
      <c r="D22" s="48">
        <v>0</v>
      </c>
      <c r="E22" s="49">
        <v>1</v>
      </c>
      <c r="F22" s="49">
        <f>623+1</f>
        <v>624</v>
      </c>
      <c r="G22" s="263">
        <f t="shared" si="0"/>
        <v>625</v>
      </c>
      <c r="H22" s="399">
        <f>G22/G31</f>
        <v>2.7424308907415533E-2</v>
      </c>
    </row>
    <row r="23" spans="1:8" ht="15" customHeight="1">
      <c r="A23" s="378">
        <v>16</v>
      </c>
      <c r="B23" s="379" t="s">
        <v>82</v>
      </c>
      <c r="C23" s="380">
        <v>0</v>
      </c>
      <c r="D23" s="48">
        <v>1</v>
      </c>
      <c r="E23" s="49">
        <v>0</v>
      </c>
      <c r="F23" s="49">
        <f>432+1</f>
        <v>433</v>
      </c>
      <c r="G23" s="263">
        <f t="shared" si="0"/>
        <v>434</v>
      </c>
      <c r="H23" s="399">
        <f>G23/G31</f>
        <v>1.9043440105309346E-2</v>
      </c>
    </row>
    <row r="24" spans="1:8" ht="24.75" customHeight="1">
      <c r="A24" s="382">
        <v>17</v>
      </c>
      <c r="B24" s="379" t="s">
        <v>83</v>
      </c>
      <c r="C24" s="380">
        <v>0</v>
      </c>
      <c r="D24" s="48">
        <v>1</v>
      </c>
      <c r="E24" s="49">
        <v>3</v>
      </c>
      <c r="F24" s="49">
        <v>326</v>
      </c>
      <c r="G24" s="263">
        <f t="shared" si="0"/>
        <v>330</v>
      </c>
      <c r="H24" s="399">
        <f>G24/G31</f>
        <v>1.4480035103115402E-2</v>
      </c>
    </row>
    <row r="25" spans="1:8" ht="15" customHeight="1">
      <c r="A25" s="378">
        <v>18</v>
      </c>
      <c r="B25" s="383" t="s">
        <v>84</v>
      </c>
      <c r="C25" s="380">
        <v>0</v>
      </c>
      <c r="D25" s="48">
        <v>0</v>
      </c>
      <c r="E25" s="49">
        <v>12</v>
      </c>
      <c r="F25" s="49">
        <v>491</v>
      </c>
      <c r="G25" s="263">
        <f t="shared" si="0"/>
        <v>503</v>
      </c>
      <c r="H25" s="399">
        <f>G25/G31</f>
        <v>2.2071083808688021E-2</v>
      </c>
    </row>
    <row r="26" spans="1:8" ht="15" customHeight="1">
      <c r="A26" s="378">
        <v>19</v>
      </c>
      <c r="B26" s="383" t="s">
        <v>85</v>
      </c>
      <c r="C26" s="380">
        <v>0</v>
      </c>
      <c r="D26" s="48">
        <v>0</v>
      </c>
      <c r="E26" s="49">
        <v>12</v>
      </c>
      <c r="F26" s="49">
        <v>476</v>
      </c>
      <c r="G26" s="263">
        <f t="shared" si="0"/>
        <v>488</v>
      </c>
      <c r="H26" s="399">
        <f>G26/G31</f>
        <v>2.1412900394910048E-2</v>
      </c>
    </row>
    <row r="27" spans="1:8" ht="38.25" customHeight="1">
      <c r="A27" s="382">
        <v>20</v>
      </c>
      <c r="B27" s="383" t="s">
        <v>86</v>
      </c>
      <c r="C27" s="380">
        <v>0</v>
      </c>
      <c r="D27" s="48">
        <v>0</v>
      </c>
      <c r="E27" s="49">
        <v>0</v>
      </c>
      <c r="F27" s="49">
        <v>28</v>
      </c>
      <c r="G27" s="263">
        <f t="shared" si="0"/>
        <v>28</v>
      </c>
      <c r="H27" s="399">
        <f>G27/G31</f>
        <v>1.228609039052216E-3</v>
      </c>
    </row>
    <row r="28" spans="1:8" ht="15.75" customHeight="1">
      <c r="A28" s="378">
        <v>21</v>
      </c>
      <c r="B28" s="383" t="s">
        <v>87</v>
      </c>
      <c r="C28" s="380">
        <v>0</v>
      </c>
      <c r="D28" s="48">
        <v>0</v>
      </c>
      <c r="E28" s="49">
        <v>0</v>
      </c>
      <c r="F28" s="49">
        <v>11</v>
      </c>
      <c r="G28" s="263">
        <f t="shared" si="0"/>
        <v>11</v>
      </c>
      <c r="H28" s="399">
        <f>G28/G31</f>
        <v>4.8266783677051339E-4</v>
      </c>
    </row>
    <row r="29" spans="1:8">
      <c r="A29" s="378">
        <v>22</v>
      </c>
      <c r="B29" s="378" t="s">
        <v>88</v>
      </c>
      <c r="C29" s="380">
        <v>0</v>
      </c>
      <c r="D29" s="48">
        <v>3</v>
      </c>
      <c r="E29" s="49">
        <v>9</v>
      </c>
      <c r="F29" s="158">
        <f>1104+10</f>
        <v>1114</v>
      </c>
      <c r="G29" s="263">
        <f t="shared" si="0"/>
        <v>1126</v>
      </c>
      <c r="H29" s="399">
        <f>G29/G31</f>
        <v>4.9407634927599822E-2</v>
      </c>
    </row>
    <row r="30" spans="1:8" ht="12.75" thickBot="1">
      <c r="A30" s="378">
        <v>23</v>
      </c>
      <c r="B30" s="384" t="s">
        <v>89</v>
      </c>
      <c r="C30" s="385">
        <v>0</v>
      </c>
      <c r="D30" s="56">
        <v>0</v>
      </c>
      <c r="E30" s="331">
        <v>0</v>
      </c>
      <c r="F30" s="49">
        <v>4</v>
      </c>
      <c r="G30" s="263">
        <f t="shared" si="0"/>
        <v>4</v>
      </c>
      <c r="H30" s="400">
        <f>G30/G31</f>
        <v>1.7551557700745942E-4</v>
      </c>
    </row>
    <row r="31" spans="1:8" ht="12.75" thickBot="1">
      <c r="A31" s="401"/>
      <c r="B31" s="402" t="s">
        <v>6</v>
      </c>
      <c r="C31" s="389">
        <f t="shared" ref="C31:H31" si="1">SUM(C8:C30)</f>
        <v>17</v>
      </c>
      <c r="D31" s="353">
        <f>SUM(D8:D30)</f>
        <v>70</v>
      </c>
      <c r="E31" s="353">
        <f t="shared" si="1"/>
        <v>4822</v>
      </c>
      <c r="F31" s="353">
        <f t="shared" si="1"/>
        <v>17881</v>
      </c>
      <c r="G31" s="403">
        <f t="shared" si="1"/>
        <v>22790</v>
      </c>
      <c r="H31" s="391">
        <f t="shared" si="1"/>
        <v>1</v>
      </c>
    </row>
    <row r="32" spans="1:8">
      <c r="F32" s="57"/>
      <c r="G32" s="42"/>
    </row>
    <row r="33" spans="1:9">
      <c r="A33" s="28" t="s">
        <v>142</v>
      </c>
      <c r="G33" s="57" t="s">
        <v>12</v>
      </c>
      <c r="I33" s="57"/>
    </row>
    <row r="34" spans="1:9">
      <c r="A34" s="61"/>
      <c r="B34" s="321">
        <v>44033</v>
      </c>
      <c r="C34" s="321"/>
      <c r="D34" s="321"/>
      <c r="E34" s="61"/>
      <c r="G34" s="57" t="s">
        <v>90</v>
      </c>
      <c r="I34" s="57"/>
    </row>
    <row r="35" spans="1:9">
      <c r="B35" s="404"/>
    </row>
  </sheetData>
  <mergeCells count="7">
    <mergeCell ref="H6:H7"/>
    <mergeCell ref="C5:H5"/>
    <mergeCell ref="A3:G3"/>
    <mergeCell ref="A4:D4"/>
    <mergeCell ref="C6:D6"/>
    <mergeCell ref="E6:F6"/>
    <mergeCell ref="G6:G7"/>
  </mergeCells>
  <pageMargins left="0" right="0" top="0.35433070866141736" bottom="0.15748031496062992" header="0.31496062992125984" footer="0.31496062992125984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topLeftCell="A25" zoomScale="70" zoomScaleNormal="70" workbookViewId="0">
      <selection activeCell="I36" sqref="I36"/>
    </sheetView>
  </sheetViews>
  <sheetFormatPr defaultRowHeight="12"/>
  <cols>
    <col min="1" max="1" width="5.42578125" style="28" customWidth="1"/>
    <col min="2" max="2" width="53.85546875" style="28" customWidth="1"/>
    <col min="3" max="3" width="12.28515625" style="28" customWidth="1"/>
    <col min="4" max="4" width="12.42578125" style="28" customWidth="1"/>
    <col min="5" max="7" width="12.7109375" style="28" customWidth="1"/>
    <col min="8" max="8" width="12" style="28" customWidth="1"/>
    <col min="9" max="16384" width="9.140625" style="28"/>
  </cols>
  <sheetData>
    <row r="1" spans="1:8">
      <c r="A1" s="332" t="s">
        <v>102</v>
      </c>
      <c r="B1" s="404"/>
    </row>
    <row r="2" spans="1:8" ht="28.5" customHeight="1">
      <c r="A2" s="541" t="s">
        <v>135</v>
      </c>
      <c r="B2" s="541"/>
      <c r="C2" s="541"/>
      <c r="D2" s="541"/>
      <c r="E2" s="541"/>
      <c r="F2" s="541"/>
      <c r="G2" s="541"/>
    </row>
    <row r="3" spans="1:8" ht="1.5" customHeight="1" thickBot="1">
      <c r="A3" s="540"/>
      <c r="B3" s="540"/>
      <c r="C3" s="540"/>
    </row>
    <row r="4" spans="1:8" ht="16.5" customHeight="1">
      <c r="A4" s="367"/>
      <c r="B4" s="368"/>
      <c r="C4" s="553" t="s">
        <v>59</v>
      </c>
      <c r="D4" s="544"/>
      <c r="E4" s="544"/>
      <c r="F4" s="544"/>
      <c r="G4" s="544"/>
      <c r="H4" s="545"/>
    </row>
    <row r="5" spans="1:8" ht="16.5" customHeight="1">
      <c r="A5" s="369" t="s">
        <v>60</v>
      </c>
      <c r="B5" s="370" t="s">
        <v>61</v>
      </c>
      <c r="C5" s="554" t="s">
        <v>62</v>
      </c>
      <c r="D5" s="548"/>
      <c r="E5" s="548" t="s">
        <v>63</v>
      </c>
      <c r="F5" s="548"/>
      <c r="G5" s="561" t="s">
        <v>6</v>
      </c>
      <c r="H5" s="564" t="s">
        <v>112</v>
      </c>
    </row>
    <row r="6" spans="1:8" ht="24.75" customHeight="1" thickBot="1">
      <c r="A6" s="371"/>
      <c r="B6" s="371"/>
      <c r="C6" s="372" t="s">
        <v>64</v>
      </c>
      <c r="D6" s="323" t="s">
        <v>65</v>
      </c>
      <c r="E6" s="323" t="s">
        <v>65</v>
      </c>
      <c r="F6" s="323" t="s">
        <v>66</v>
      </c>
      <c r="G6" s="566"/>
      <c r="H6" s="565"/>
    </row>
    <row r="7" spans="1:8" ht="15" customHeight="1">
      <c r="A7" s="373">
        <v>1</v>
      </c>
      <c r="B7" s="374" t="s">
        <v>67</v>
      </c>
      <c r="C7" s="375">
        <v>0</v>
      </c>
      <c r="D7" s="108">
        <v>0</v>
      </c>
      <c r="E7" s="50">
        <v>1</v>
      </c>
      <c r="F7" s="50">
        <v>160</v>
      </c>
      <c r="G7" s="405">
        <f>SUM(C7+D7+E7+F7)</f>
        <v>161</v>
      </c>
      <c r="H7" s="406">
        <f>G7/G30</f>
        <v>5.8583800305654615E-3</v>
      </c>
    </row>
    <row r="8" spans="1:8" ht="15" customHeight="1">
      <c r="A8" s="378">
        <v>2</v>
      </c>
      <c r="B8" s="379" t="s">
        <v>68</v>
      </c>
      <c r="C8" s="380">
        <v>0</v>
      </c>
      <c r="D8" s="48">
        <v>0</v>
      </c>
      <c r="E8" s="49">
        <v>0</v>
      </c>
      <c r="F8" s="49">
        <v>36</v>
      </c>
      <c r="G8" s="64">
        <f>SUM(C8+D8+E8+F8)</f>
        <v>36</v>
      </c>
      <c r="H8" s="407">
        <f>G8/G30</f>
        <v>1.3099483298158795E-3</v>
      </c>
    </row>
    <row r="9" spans="1:8" ht="15" customHeight="1">
      <c r="A9" s="378">
        <v>3</v>
      </c>
      <c r="B9" s="379" t="s">
        <v>69</v>
      </c>
      <c r="C9" s="380">
        <v>17</v>
      </c>
      <c r="D9" s="48">
        <v>0</v>
      </c>
      <c r="E9" s="49">
        <v>1</v>
      </c>
      <c r="F9" s="49">
        <v>1358</v>
      </c>
      <c r="G9" s="64">
        <f t="shared" ref="G9:G29" si="0">SUM(C9+D9+E9+F9)</f>
        <v>1376</v>
      </c>
      <c r="H9" s="407">
        <f>G9/G30</f>
        <v>5.0069136161851394E-2</v>
      </c>
    </row>
    <row r="10" spans="1:8" ht="28.5" customHeight="1">
      <c r="A10" s="378">
        <v>4</v>
      </c>
      <c r="B10" s="379" t="s">
        <v>70</v>
      </c>
      <c r="C10" s="68">
        <v>0</v>
      </c>
      <c r="D10" s="53">
        <v>0</v>
      </c>
      <c r="E10" s="54">
        <v>0</v>
      </c>
      <c r="F10" s="49">
        <v>10</v>
      </c>
      <c r="G10" s="64">
        <f t="shared" si="0"/>
        <v>10</v>
      </c>
      <c r="H10" s="407">
        <f>G10/G30</f>
        <v>3.6387453605996652E-4</v>
      </c>
    </row>
    <row r="11" spans="1:8" ht="24.75" customHeight="1">
      <c r="A11" s="378">
        <v>5</v>
      </c>
      <c r="B11" s="379" t="s">
        <v>71</v>
      </c>
      <c r="C11" s="380">
        <v>0</v>
      </c>
      <c r="D11" s="48">
        <v>0</v>
      </c>
      <c r="E11" s="49">
        <v>0</v>
      </c>
      <c r="F11" s="49">
        <v>52</v>
      </c>
      <c r="G11" s="64">
        <f t="shared" si="0"/>
        <v>52</v>
      </c>
      <c r="H11" s="407">
        <f>G11/G30</f>
        <v>1.8921475875118259E-3</v>
      </c>
    </row>
    <row r="12" spans="1:8" ht="15" customHeight="1">
      <c r="A12" s="378">
        <v>6</v>
      </c>
      <c r="B12" s="379" t="s">
        <v>72</v>
      </c>
      <c r="C12" s="68">
        <v>0</v>
      </c>
      <c r="D12" s="48">
        <v>1</v>
      </c>
      <c r="E12" s="49">
        <v>7</v>
      </c>
      <c r="F12" s="49">
        <v>1126</v>
      </c>
      <c r="G12" s="64">
        <f t="shared" si="0"/>
        <v>1134</v>
      </c>
      <c r="H12" s="407">
        <f>G12/G30</f>
        <v>4.1263372389200206E-2</v>
      </c>
    </row>
    <row r="13" spans="1:8" ht="24">
      <c r="A13" s="378">
        <v>7</v>
      </c>
      <c r="B13" s="379" t="s">
        <v>73</v>
      </c>
      <c r="C13" s="68">
        <v>0</v>
      </c>
      <c r="D13" s="48">
        <v>13</v>
      </c>
      <c r="E13" s="49">
        <v>40</v>
      </c>
      <c r="F13" s="49">
        <v>4418</v>
      </c>
      <c r="G13" s="64">
        <f t="shared" si="0"/>
        <v>4471</v>
      </c>
      <c r="H13" s="407">
        <f>G13/G30</f>
        <v>0.16268830507241103</v>
      </c>
    </row>
    <row r="14" spans="1:8" s="171" customFormat="1" ht="15" customHeight="1">
      <c r="A14" s="408">
        <v>8</v>
      </c>
      <c r="B14" s="383" t="s">
        <v>74</v>
      </c>
      <c r="C14" s="285">
        <v>0</v>
      </c>
      <c r="D14" s="286">
        <v>0</v>
      </c>
      <c r="E14" s="286">
        <v>18</v>
      </c>
      <c r="F14" s="158">
        <v>1241</v>
      </c>
      <c r="G14" s="287">
        <f t="shared" si="0"/>
        <v>1259</v>
      </c>
      <c r="H14" s="409">
        <f>G14/G30</f>
        <v>4.5811804089949788E-2</v>
      </c>
    </row>
    <row r="15" spans="1:8" ht="31.5" customHeight="1">
      <c r="A15" s="378">
        <v>9</v>
      </c>
      <c r="B15" s="379" t="s">
        <v>75</v>
      </c>
      <c r="C15" s="68">
        <v>0</v>
      </c>
      <c r="D15" s="48">
        <v>32</v>
      </c>
      <c r="E15" s="48">
        <v>4540</v>
      </c>
      <c r="F15" s="49">
        <v>4060</v>
      </c>
      <c r="G15" s="64">
        <f t="shared" si="0"/>
        <v>8632</v>
      </c>
      <c r="H15" s="407">
        <f>G15/G30</f>
        <v>0.31409649952696311</v>
      </c>
    </row>
    <row r="16" spans="1:8" ht="15" customHeight="1">
      <c r="A16" s="378">
        <v>10</v>
      </c>
      <c r="B16" s="379" t="s">
        <v>76</v>
      </c>
      <c r="C16" s="68">
        <v>0</v>
      </c>
      <c r="D16" s="48">
        <v>0</v>
      </c>
      <c r="E16" s="49">
        <v>1</v>
      </c>
      <c r="F16" s="49">
        <v>557</v>
      </c>
      <c r="G16" s="64">
        <f t="shared" si="0"/>
        <v>558</v>
      </c>
      <c r="H16" s="407">
        <f>G16/G30</f>
        <v>2.0304199112146131E-2</v>
      </c>
    </row>
    <row r="17" spans="1:8" ht="15" customHeight="1">
      <c r="A17" s="378">
        <v>11</v>
      </c>
      <c r="B17" s="379" t="s">
        <v>77</v>
      </c>
      <c r="C17" s="68">
        <v>0</v>
      </c>
      <c r="D17" s="48">
        <v>0</v>
      </c>
      <c r="E17" s="49">
        <v>1</v>
      </c>
      <c r="F17" s="49">
        <v>1068</v>
      </c>
      <c r="G17" s="64">
        <f t="shared" si="0"/>
        <v>1069</v>
      </c>
      <c r="H17" s="407">
        <f>G17/G30</f>
        <v>3.8898187904810422E-2</v>
      </c>
    </row>
    <row r="18" spans="1:8" ht="15" customHeight="1">
      <c r="A18" s="378">
        <v>12</v>
      </c>
      <c r="B18" s="379" t="s">
        <v>78</v>
      </c>
      <c r="C18" s="68">
        <v>0</v>
      </c>
      <c r="D18" s="48">
        <v>0</v>
      </c>
      <c r="E18" s="49">
        <v>8</v>
      </c>
      <c r="F18" s="49">
        <v>226</v>
      </c>
      <c r="G18" s="64">
        <f t="shared" si="0"/>
        <v>234</v>
      </c>
      <c r="H18" s="407">
        <f>G18/G30</f>
        <v>8.5146641438032175E-3</v>
      </c>
    </row>
    <row r="19" spans="1:8" ht="15" customHeight="1">
      <c r="A19" s="378">
        <v>13</v>
      </c>
      <c r="B19" s="379" t="s">
        <v>79</v>
      </c>
      <c r="C19" s="68">
        <v>0</v>
      </c>
      <c r="D19" s="48">
        <v>0</v>
      </c>
      <c r="E19" s="49">
        <v>2</v>
      </c>
      <c r="F19" s="49">
        <v>1218</v>
      </c>
      <c r="G19" s="64">
        <f t="shared" si="0"/>
        <v>1220</v>
      </c>
      <c r="H19" s="407">
        <f>G19/G30</f>
        <v>4.4392693399315918E-2</v>
      </c>
    </row>
    <row r="20" spans="1:8" ht="15" customHeight="1">
      <c r="A20" s="378">
        <v>14</v>
      </c>
      <c r="B20" s="379" t="s">
        <v>80</v>
      </c>
      <c r="C20" s="68">
        <v>0</v>
      </c>
      <c r="D20" s="48">
        <v>0</v>
      </c>
      <c r="E20" s="49">
        <v>22</v>
      </c>
      <c r="F20" s="49">
        <v>1111</v>
      </c>
      <c r="G20" s="64">
        <f t="shared" si="0"/>
        <v>1133</v>
      </c>
      <c r="H20" s="407">
        <f>G20/G30</f>
        <v>4.1226984935594208E-2</v>
      </c>
    </row>
    <row r="21" spans="1:8" ht="15" customHeight="1">
      <c r="A21" s="382">
        <v>15</v>
      </c>
      <c r="B21" s="379" t="s">
        <v>81</v>
      </c>
      <c r="C21" s="68">
        <v>0</v>
      </c>
      <c r="D21" s="48">
        <v>0</v>
      </c>
      <c r="E21" s="49">
        <v>1</v>
      </c>
      <c r="F21" s="49">
        <v>1396</v>
      </c>
      <c r="G21" s="64">
        <f t="shared" si="0"/>
        <v>1397</v>
      </c>
      <c r="H21" s="407">
        <f>G21/G30</f>
        <v>5.083327268757732E-2</v>
      </c>
    </row>
    <row r="22" spans="1:8" ht="15" customHeight="1">
      <c r="A22" s="378">
        <v>16</v>
      </c>
      <c r="B22" s="379" t="s">
        <v>82</v>
      </c>
      <c r="C22" s="68">
        <v>0</v>
      </c>
      <c r="D22" s="48">
        <v>1</v>
      </c>
      <c r="E22" s="49">
        <v>0</v>
      </c>
      <c r="F22" s="49">
        <v>1479</v>
      </c>
      <c r="G22" s="64">
        <f t="shared" si="0"/>
        <v>1480</v>
      </c>
      <c r="H22" s="407">
        <f>G22/G30</f>
        <v>5.3853431336875049E-2</v>
      </c>
    </row>
    <row r="23" spans="1:8" s="171" customFormat="1" ht="27" customHeight="1">
      <c r="A23" s="410">
        <v>17</v>
      </c>
      <c r="B23" s="383" t="s">
        <v>83</v>
      </c>
      <c r="C23" s="285">
        <v>0</v>
      </c>
      <c r="D23" s="286">
        <v>1</v>
      </c>
      <c r="E23" s="158">
        <v>3</v>
      </c>
      <c r="F23" s="158">
        <v>422</v>
      </c>
      <c r="G23" s="287">
        <f t="shared" si="0"/>
        <v>426</v>
      </c>
      <c r="H23" s="409">
        <f>G23/G30</f>
        <v>1.5501055236154575E-2</v>
      </c>
    </row>
    <row r="24" spans="1:8" ht="15" customHeight="1">
      <c r="A24" s="378">
        <v>18</v>
      </c>
      <c r="B24" s="383" t="s">
        <v>84</v>
      </c>
      <c r="C24" s="68">
        <v>0</v>
      </c>
      <c r="D24" s="48">
        <v>0</v>
      </c>
      <c r="E24" s="49">
        <v>12</v>
      </c>
      <c r="F24" s="49">
        <v>632</v>
      </c>
      <c r="G24" s="64">
        <f t="shared" si="0"/>
        <v>644</v>
      </c>
      <c r="H24" s="407">
        <f>G24/G30</f>
        <v>2.3433520122261846E-2</v>
      </c>
    </row>
    <row r="25" spans="1:8" ht="15" customHeight="1">
      <c r="A25" s="378">
        <v>19</v>
      </c>
      <c r="B25" s="383" t="s">
        <v>85</v>
      </c>
      <c r="C25" s="68">
        <v>0</v>
      </c>
      <c r="D25" s="48">
        <v>0</v>
      </c>
      <c r="E25" s="49">
        <v>12</v>
      </c>
      <c r="F25" s="49">
        <v>646</v>
      </c>
      <c r="G25" s="64">
        <f t="shared" si="0"/>
        <v>658</v>
      </c>
      <c r="H25" s="407">
        <f>G25/G30</f>
        <v>2.3942944472745798E-2</v>
      </c>
    </row>
    <row r="26" spans="1:8" ht="38.25" customHeight="1">
      <c r="A26" s="382">
        <v>20</v>
      </c>
      <c r="B26" s="383" t="s">
        <v>86</v>
      </c>
      <c r="C26" s="68">
        <v>0</v>
      </c>
      <c r="D26" s="48">
        <v>0</v>
      </c>
      <c r="E26" s="49">
        <v>0</v>
      </c>
      <c r="F26" s="49">
        <v>40</v>
      </c>
      <c r="G26" s="411">
        <f t="shared" si="0"/>
        <v>40</v>
      </c>
      <c r="H26" s="407">
        <f>G26/G30</f>
        <v>1.4554981442398661E-3</v>
      </c>
    </row>
    <row r="27" spans="1:8" ht="15" customHeight="1">
      <c r="A27" s="378">
        <v>21</v>
      </c>
      <c r="B27" s="383" t="s">
        <v>87</v>
      </c>
      <c r="C27" s="68">
        <v>0</v>
      </c>
      <c r="D27" s="48">
        <v>0</v>
      </c>
      <c r="E27" s="49">
        <v>0</v>
      </c>
      <c r="F27" s="49">
        <v>19</v>
      </c>
      <c r="G27" s="64">
        <f t="shared" si="0"/>
        <v>19</v>
      </c>
      <c r="H27" s="407">
        <f>G27/G30</f>
        <v>6.9136161851393639E-4</v>
      </c>
    </row>
    <row r="28" spans="1:8" ht="15" customHeight="1">
      <c r="A28" s="378">
        <v>22</v>
      </c>
      <c r="B28" s="378" t="s">
        <v>88</v>
      </c>
      <c r="C28" s="68">
        <v>0</v>
      </c>
      <c r="D28" s="48">
        <v>4</v>
      </c>
      <c r="E28" s="49">
        <v>11</v>
      </c>
      <c r="F28" s="49">
        <v>1454</v>
      </c>
      <c r="G28" s="64">
        <f t="shared" si="0"/>
        <v>1469</v>
      </c>
      <c r="H28" s="407">
        <f>G28/G30</f>
        <v>5.3453169347209083E-2</v>
      </c>
    </row>
    <row r="29" spans="1:8" ht="15" customHeight="1" thickBot="1">
      <c r="A29" s="384">
        <v>23</v>
      </c>
      <c r="B29" s="384" t="s">
        <v>89</v>
      </c>
      <c r="C29" s="68">
        <v>0</v>
      </c>
      <c r="D29" s="56">
        <v>0</v>
      </c>
      <c r="E29" s="331">
        <v>0</v>
      </c>
      <c r="F29" s="331">
        <v>4</v>
      </c>
      <c r="G29" s="411">
        <f t="shared" si="0"/>
        <v>4</v>
      </c>
      <c r="H29" s="412">
        <f>G29/G30</f>
        <v>1.4554981442398661E-4</v>
      </c>
    </row>
    <row r="30" spans="1:8" ht="15" customHeight="1" thickBot="1">
      <c r="A30" s="413"/>
      <c r="B30" s="402" t="s">
        <v>6</v>
      </c>
      <c r="C30" s="389">
        <f t="shared" ref="C30:H30" si="1">SUM(C7:C29)</f>
        <v>17</v>
      </c>
      <c r="D30" s="353">
        <f t="shared" si="1"/>
        <v>52</v>
      </c>
      <c r="E30" s="353">
        <f>SUM(E7:E29)</f>
        <v>4680</v>
      </c>
      <c r="F30" s="353">
        <f t="shared" si="1"/>
        <v>22733</v>
      </c>
      <c r="G30" s="414">
        <f t="shared" si="1"/>
        <v>27482</v>
      </c>
      <c r="H30" s="391">
        <f t="shared" si="1"/>
        <v>0.99999999999999978</v>
      </c>
    </row>
    <row r="31" spans="1:8">
      <c r="A31" s="356"/>
      <c r="B31" s="357"/>
      <c r="C31" s="358"/>
      <c r="D31" s="358"/>
      <c r="E31" s="358"/>
      <c r="F31" s="358"/>
      <c r="G31" s="358"/>
    </row>
    <row r="32" spans="1:8">
      <c r="A32" s="28" t="s">
        <v>144</v>
      </c>
      <c r="G32" s="57" t="s">
        <v>12</v>
      </c>
    </row>
    <row r="33" spans="1:7">
      <c r="A33" s="550">
        <v>44137</v>
      </c>
      <c r="B33" s="550"/>
      <c r="G33" s="57" t="s">
        <v>90</v>
      </c>
    </row>
  </sheetData>
  <mergeCells count="8">
    <mergeCell ref="H5:H6"/>
    <mergeCell ref="C4:H4"/>
    <mergeCell ref="A33:B33"/>
    <mergeCell ref="A2:G2"/>
    <mergeCell ref="A3:C3"/>
    <mergeCell ref="C5:D5"/>
    <mergeCell ref="E5:F5"/>
    <mergeCell ref="G5:G6"/>
  </mergeCells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topLeftCell="A25" zoomScale="70" zoomScaleNormal="70" workbookViewId="0">
      <selection activeCell="G37" sqref="G37"/>
    </sheetView>
  </sheetViews>
  <sheetFormatPr defaultRowHeight="12"/>
  <cols>
    <col min="1" max="1" width="5.28515625" style="28" customWidth="1"/>
    <col min="2" max="2" width="50.85546875" style="28" customWidth="1"/>
    <col min="3" max="7" width="12.7109375" style="28" customWidth="1"/>
    <col min="8" max="8" width="13.28515625" style="28" customWidth="1"/>
    <col min="9" max="16384" width="9.140625" style="28"/>
  </cols>
  <sheetData>
    <row r="1" spans="1:8">
      <c r="A1" s="332" t="s">
        <v>101</v>
      </c>
      <c r="B1" s="404"/>
    </row>
    <row r="2" spans="1:8" ht="26.25" customHeight="1">
      <c r="A2" s="541" t="s">
        <v>136</v>
      </c>
      <c r="B2" s="541"/>
      <c r="C2" s="541"/>
      <c r="D2" s="541"/>
      <c r="E2" s="541"/>
      <c r="F2" s="541"/>
      <c r="G2" s="541"/>
    </row>
    <row r="3" spans="1:8" ht="12.75" thickBot="1">
      <c r="A3" s="540"/>
      <c r="B3" s="540"/>
      <c r="C3" s="540"/>
    </row>
    <row r="4" spans="1:8" ht="18" customHeight="1">
      <c r="A4" s="367"/>
      <c r="B4" s="368"/>
      <c r="C4" s="553" t="s">
        <v>59</v>
      </c>
      <c r="D4" s="544"/>
      <c r="E4" s="544"/>
      <c r="F4" s="544"/>
      <c r="G4" s="544"/>
      <c r="H4" s="569"/>
    </row>
    <row r="5" spans="1:8" ht="18.75" customHeight="1">
      <c r="A5" s="369" t="s">
        <v>60</v>
      </c>
      <c r="B5" s="370" t="s">
        <v>61</v>
      </c>
      <c r="C5" s="554" t="s">
        <v>62</v>
      </c>
      <c r="D5" s="548"/>
      <c r="E5" s="548" t="s">
        <v>63</v>
      </c>
      <c r="F5" s="548"/>
      <c r="G5" s="548" t="s">
        <v>6</v>
      </c>
      <c r="H5" s="567" t="s">
        <v>112</v>
      </c>
    </row>
    <row r="6" spans="1:8" ht="24.75" customHeight="1" thickBot="1">
      <c r="A6" s="371"/>
      <c r="B6" s="371"/>
      <c r="C6" s="372" t="s">
        <v>64</v>
      </c>
      <c r="D6" s="323" t="s">
        <v>65</v>
      </c>
      <c r="E6" s="323" t="s">
        <v>65</v>
      </c>
      <c r="F6" s="323" t="s">
        <v>66</v>
      </c>
      <c r="G6" s="570"/>
      <c r="H6" s="568"/>
    </row>
    <row r="7" spans="1:8" ht="15" customHeight="1">
      <c r="A7" s="373">
        <v>1</v>
      </c>
      <c r="B7" s="374" t="s">
        <v>67</v>
      </c>
      <c r="C7" s="375">
        <v>0</v>
      </c>
      <c r="D7" s="108">
        <v>0</v>
      </c>
      <c r="E7" s="50">
        <v>1</v>
      </c>
      <c r="F7" s="50">
        <v>172</v>
      </c>
      <c r="G7" s="405">
        <f>SUM(C7+D7+E7+F7)</f>
        <v>173</v>
      </c>
      <c r="H7" s="415">
        <f>G7/G30</f>
        <v>5.8343450694725478E-3</v>
      </c>
    </row>
    <row r="8" spans="1:8" ht="15" customHeight="1">
      <c r="A8" s="378">
        <v>2</v>
      </c>
      <c r="B8" s="379" t="s">
        <v>68</v>
      </c>
      <c r="C8" s="380">
        <v>0</v>
      </c>
      <c r="D8" s="48">
        <v>0</v>
      </c>
      <c r="E8" s="49">
        <v>0</v>
      </c>
      <c r="F8" s="49">
        <v>36</v>
      </c>
      <c r="G8" s="64">
        <f>SUM(C8+D8+E8+F8)</f>
        <v>36</v>
      </c>
      <c r="H8" s="399">
        <f>G8/G30</f>
        <v>1.2140833670578712E-3</v>
      </c>
    </row>
    <row r="9" spans="1:8" ht="15" customHeight="1">
      <c r="A9" s="378">
        <v>3</v>
      </c>
      <c r="B9" s="379" t="s">
        <v>69</v>
      </c>
      <c r="C9" s="380">
        <v>7</v>
      </c>
      <c r="D9" s="48">
        <v>0</v>
      </c>
      <c r="E9" s="49">
        <v>1</v>
      </c>
      <c r="F9" s="49">
        <v>1472</v>
      </c>
      <c r="G9" s="64">
        <f t="shared" ref="G9:G29" si="0">SUM(C9+D9+E9+F9)</f>
        <v>1480</v>
      </c>
      <c r="H9" s="399">
        <f>G9/G30</f>
        <v>4.9912316201268042E-2</v>
      </c>
    </row>
    <row r="10" spans="1:8" ht="24">
      <c r="A10" s="378">
        <v>4</v>
      </c>
      <c r="B10" s="379" t="s">
        <v>70</v>
      </c>
      <c r="C10" s="68">
        <v>0</v>
      </c>
      <c r="D10" s="53">
        <v>0</v>
      </c>
      <c r="E10" s="54">
        <v>0</v>
      </c>
      <c r="F10" s="54">
        <v>9</v>
      </c>
      <c r="G10" s="64">
        <f t="shared" si="0"/>
        <v>9</v>
      </c>
      <c r="H10" s="399">
        <f>G10/G30</f>
        <v>3.035208417644678E-4</v>
      </c>
    </row>
    <row r="11" spans="1:8" ht="24.75" customHeight="1">
      <c r="A11" s="378">
        <v>5</v>
      </c>
      <c r="B11" s="379" t="s">
        <v>71</v>
      </c>
      <c r="C11" s="68">
        <v>0</v>
      </c>
      <c r="D11" s="48">
        <v>0</v>
      </c>
      <c r="E11" s="49">
        <v>0</v>
      </c>
      <c r="F11" s="49">
        <v>56</v>
      </c>
      <c r="G11" s="64">
        <f t="shared" si="0"/>
        <v>56</v>
      </c>
      <c r="H11" s="399">
        <f>G11/G30</f>
        <v>1.8885741265344666E-3</v>
      </c>
    </row>
    <row r="12" spans="1:8" ht="15" customHeight="1">
      <c r="A12" s="378">
        <v>6</v>
      </c>
      <c r="B12" s="379" t="s">
        <v>72</v>
      </c>
      <c r="C12" s="68">
        <v>0</v>
      </c>
      <c r="D12" s="48">
        <v>1</v>
      </c>
      <c r="E12" s="49">
        <v>7</v>
      </c>
      <c r="F12" s="49">
        <v>1187</v>
      </c>
      <c r="G12" s="64">
        <f t="shared" si="0"/>
        <v>1195</v>
      </c>
      <c r="H12" s="399">
        <f>G12/G30</f>
        <v>4.0300822878726564E-2</v>
      </c>
    </row>
    <row r="13" spans="1:8" ht="24.75" customHeight="1">
      <c r="A13" s="378">
        <v>7</v>
      </c>
      <c r="B13" s="379" t="s">
        <v>73</v>
      </c>
      <c r="C13" s="68">
        <v>0</v>
      </c>
      <c r="D13" s="48">
        <v>6</v>
      </c>
      <c r="E13" s="49">
        <v>37</v>
      </c>
      <c r="F13" s="49">
        <v>4686</v>
      </c>
      <c r="G13" s="64">
        <f t="shared" si="0"/>
        <v>4729</v>
      </c>
      <c r="H13" s="399">
        <f>G13/G30</f>
        <v>0.15948334007824091</v>
      </c>
    </row>
    <row r="14" spans="1:8" ht="15" customHeight="1">
      <c r="A14" s="378">
        <v>8</v>
      </c>
      <c r="B14" s="379" t="s">
        <v>74</v>
      </c>
      <c r="C14" s="68">
        <v>0</v>
      </c>
      <c r="D14" s="48">
        <v>0</v>
      </c>
      <c r="E14" s="48">
        <v>18</v>
      </c>
      <c r="F14" s="48">
        <v>1310</v>
      </c>
      <c r="G14" s="64">
        <f t="shared" si="0"/>
        <v>1328</v>
      </c>
      <c r="H14" s="399">
        <f>G14/G30</f>
        <v>4.4786186429245922E-2</v>
      </c>
    </row>
    <row r="15" spans="1:8" ht="24">
      <c r="A15" s="378">
        <v>9</v>
      </c>
      <c r="B15" s="379" t="s">
        <v>75</v>
      </c>
      <c r="C15" s="68">
        <v>0</v>
      </c>
      <c r="D15" s="48">
        <v>27</v>
      </c>
      <c r="E15" s="48">
        <v>3953</v>
      </c>
      <c r="F15" s="48">
        <v>3966</v>
      </c>
      <c r="G15" s="64">
        <f t="shared" si="0"/>
        <v>7946</v>
      </c>
      <c r="H15" s="399">
        <f>G15/G30</f>
        <v>0.26797517874005128</v>
      </c>
    </row>
    <row r="16" spans="1:8" ht="15" customHeight="1">
      <c r="A16" s="378">
        <v>10</v>
      </c>
      <c r="B16" s="379" t="s">
        <v>76</v>
      </c>
      <c r="C16" s="68">
        <v>0</v>
      </c>
      <c r="D16" s="48">
        <v>0</v>
      </c>
      <c r="E16" s="49">
        <v>1</v>
      </c>
      <c r="F16" s="49">
        <v>642</v>
      </c>
      <c r="G16" s="64">
        <f t="shared" si="0"/>
        <v>643</v>
      </c>
      <c r="H16" s="399">
        <f>G16/G30</f>
        <v>2.1684877917172534E-2</v>
      </c>
    </row>
    <row r="17" spans="1:8" ht="15" customHeight="1">
      <c r="A17" s="378">
        <v>11</v>
      </c>
      <c r="B17" s="379" t="s">
        <v>77</v>
      </c>
      <c r="C17" s="68">
        <v>0</v>
      </c>
      <c r="D17" s="48">
        <v>0</v>
      </c>
      <c r="E17" s="49">
        <v>1</v>
      </c>
      <c r="F17" s="49">
        <v>1123</v>
      </c>
      <c r="G17" s="64">
        <f t="shared" si="0"/>
        <v>1124</v>
      </c>
      <c r="H17" s="399">
        <f>G17/G30</f>
        <v>3.7906380682584652E-2</v>
      </c>
    </row>
    <row r="18" spans="1:8" ht="15" customHeight="1">
      <c r="A18" s="378">
        <v>12</v>
      </c>
      <c r="B18" s="379" t="s">
        <v>78</v>
      </c>
      <c r="C18" s="68">
        <v>0</v>
      </c>
      <c r="D18" s="416">
        <v>0</v>
      </c>
      <c r="E18" s="49">
        <v>8</v>
      </c>
      <c r="F18" s="49">
        <v>233</v>
      </c>
      <c r="G18" s="64">
        <f>SUM(C18:F18)</f>
        <v>241</v>
      </c>
      <c r="H18" s="399">
        <f>G18/G30</f>
        <v>8.127613651692971E-3</v>
      </c>
    </row>
    <row r="19" spans="1:8" ht="15" customHeight="1">
      <c r="A19" s="378">
        <v>13</v>
      </c>
      <c r="B19" s="379" t="s">
        <v>79</v>
      </c>
      <c r="C19" s="284">
        <v>0</v>
      </c>
      <c r="D19" s="48">
        <v>0</v>
      </c>
      <c r="E19" s="49">
        <v>2</v>
      </c>
      <c r="F19" s="49">
        <v>1320</v>
      </c>
      <c r="G19" s="64">
        <f>SUM(C19:F19)</f>
        <v>1322</v>
      </c>
      <c r="H19" s="399">
        <f>G19/G30</f>
        <v>4.4583839201402943E-2</v>
      </c>
    </row>
    <row r="20" spans="1:8" ht="15" customHeight="1">
      <c r="A20" s="378">
        <v>14</v>
      </c>
      <c r="B20" s="379" t="s">
        <v>80</v>
      </c>
      <c r="C20" s="68">
        <v>0</v>
      </c>
      <c r="D20" s="48">
        <v>0</v>
      </c>
      <c r="E20" s="49">
        <v>22</v>
      </c>
      <c r="F20" s="49">
        <v>1116</v>
      </c>
      <c r="G20" s="64">
        <f>SUM(C20:F20)</f>
        <v>1138</v>
      </c>
      <c r="H20" s="399">
        <f>G20/G30</f>
        <v>3.8378524214218265E-2</v>
      </c>
    </row>
    <row r="21" spans="1:8">
      <c r="A21" s="382">
        <v>15</v>
      </c>
      <c r="B21" s="379" t="s">
        <v>81</v>
      </c>
      <c r="C21" s="68">
        <v>0</v>
      </c>
      <c r="D21" s="48">
        <v>0</v>
      </c>
      <c r="E21" s="49">
        <v>1</v>
      </c>
      <c r="F21" s="49">
        <v>1928</v>
      </c>
      <c r="G21" s="64">
        <f t="shared" si="0"/>
        <v>1929</v>
      </c>
      <c r="H21" s="399">
        <f>G21/G30</f>
        <v>6.5054633751517599E-2</v>
      </c>
    </row>
    <row r="22" spans="1:8" ht="15" customHeight="1">
      <c r="A22" s="378">
        <v>16</v>
      </c>
      <c r="B22" s="379" t="s">
        <v>82</v>
      </c>
      <c r="C22" s="68">
        <v>0</v>
      </c>
      <c r="D22" s="48">
        <v>1</v>
      </c>
      <c r="E22" s="49">
        <v>0</v>
      </c>
      <c r="F22" s="49">
        <v>2752</v>
      </c>
      <c r="G22" s="64">
        <f t="shared" si="0"/>
        <v>2753</v>
      </c>
      <c r="H22" s="399">
        <f>G22/G30</f>
        <v>9.2843653041953328E-2</v>
      </c>
    </row>
    <row r="23" spans="1:8" ht="24.75" customHeight="1">
      <c r="A23" s="382">
        <v>17</v>
      </c>
      <c r="B23" s="379" t="s">
        <v>83</v>
      </c>
      <c r="C23" s="68">
        <v>0</v>
      </c>
      <c r="D23" s="48">
        <v>1</v>
      </c>
      <c r="E23" s="49">
        <v>3</v>
      </c>
      <c r="F23" s="49">
        <v>498</v>
      </c>
      <c r="G23" s="64">
        <f t="shared" si="0"/>
        <v>502</v>
      </c>
      <c r="H23" s="399">
        <f>G23/G30</f>
        <v>1.6929718062862538E-2</v>
      </c>
    </row>
    <row r="24" spans="1:8" ht="15" customHeight="1">
      <c r="A24" s="378">
        <v>18</v>
      </c>
      <c r="B24" s="383" t="s">
        <v>84</v>
      </c>
      <c r="C24" s="68">
        <v>0</v>
      </c>
      <c r="D24" s="48">
        <v>0</v>
      </c>
      <c r="E24" s="49">
        <v>12</v>
      </c>
      <c r="F24" s="49">
        <v>627</v>
      </c>
      <c r="G24" s="64">
        <f t="shared" si="0"/>
        <v>639</v>
      </c>
      <c r="H24" s="399">
        <f>G24/G30</f>
        <v>2.1549979765277217E-2</v>
      </c>
    </row>
    <row r="25" spans="1:8" ht="15" customHeight="1">
      <c r="A25" s="378">
        <v>19</v>
      </c>
      <c r="B25" s="383" t="s">
        <v>85</v>
      </c>
      <c r="C25" s="68">
        <v>0</v>
      </c>
      <c r="D25" s="48">
        <v>0</v>
      </c>
      <c r="E25" s="49">
        <v>10</v>
      </c>
      <c r="F25" s="49">
        <v>761</v>
      </c>
      <c r="G25" s="64">
        <f t="shared" si="0"/>
        <v>771</v>
      </c>
      <c r="H25" s="399">
        <f>G25/G30</f>
        <v>2.6001618777822744E-2</v>
      </c>
    </row>
    <row r="26" spans="1:8" ht="39" customHeight="1">
      <c r="A26" s="382">
        <v>20</v>
      </c>
      <c r="B26" s="383" t="s">
        <v>86</v>
      </c>
      <c r="C26" s="68">
        <v>0</v>
      </c>
      <c r="D26" s="48">
        <v>0</v>
      </c>
      <c r="E26" s="49">
        <v>0</v>
      </c>
      <c r="F26" s="49">
        <v>42</v>
      </c>
      <c r="G26" s="411">
        <f t="shared" si="0"/>
        <v>42</v>
      </c>
      <c r="H26" s="399">
        <f>G26/G30</f>
        <v>1.4164305949008499E-3</v>
      </c>
    </row>
    <row r="27" spans="1:8" ht="15" customHeight="1">
      <c r="A27" s="378">
        <v>21</v>
      </c>
      <c r="B27" s="383" t="s">
        <v>87</v>
      </c>
      <c r="C27" s="68">
        <v>0</v>
      </c>
      <c r="D27" s="48">
        <v>0</v>
      </c>
      <c r="E27" s="49">
        <v>0</v>
      </c>
      <c r="F27" s="49">
        <v>21</v>
      </c>
      <c r="G27" s="64">
        <f t="shared" si="0"/>
        <v>21</v>
      </c>
      <c r="H27" s="399">
        <f>G27/G30</f>
        <v>7.0821529745042496E-4</v>
      </c>
    </row>
    <row r="28" spans="1:8" ht="15" customHeight="1">
      <c r="A28" s="378">
        <v>22</v>
      </c>
      <c r="B28" s="378" t="s">
        <v>88</v>
      </c>
      <c r="C28" s="68">
        <v>0</v>
      </c>
      <c r="D28" s="48">
        <v>4</v>
      </c>
      <c r="E28" s="49">
        <v>10</v>
      </c>
      <c r="F28" s="49">
        <v>1557</v>
      </c>
      <c r="G28" s="64">
        <f t="shared" si="0"/>
        <v>1571</v>
      </c>
      <c r="H28" s="399">
        <f>G28/G30</f>
        <v>5.2981249156886553E-2</v>
      </c>
    </row>
    <row r="29" spans="1:8" ht="15" customHeight="1" thickBot="1">
      <c r="A29" s="384">
        <v>23</v>
      </c>
      <c r="B29" s="384" t="s">
        <v>89</v>
      </c>
      <c r="C29" s="68">
        <v>0</v>
      </c>
      <c r="D29" s="56">
        <v>0</v>
      </c>
      <c r="E29" s="331">
        <v>0</v>
      </c>
      <c r="F29" s="331">
        <v>4</v>
      </c>
      <c r="G29" s="411">
        <f t="shared" si="0"/>
        <v>4</v>
      </c>
      <c r="H29" s="417">
        <f>G29/G30</f>
        <v>1.3489815189531904E-4</v>
      </c>
    </row>
    <row r="30" spans="1:8" ht="15" customHeight="1" thickBot="1">
      <c r="A30" s="413"/>
      <c r="B30" s="402" t="s">
        <v>6</v>
      </c>
      <c r="C30" s="389">
        <f t="shared" ref="C30:H30" si="1">SUM(C7:C29)</f>
        <v>7</v>
      </c>
      <c r="D30" s="353">
        <f t="shared" si="1"/>
        <v>40</v>
      </c>
      <c r="E30" s="353">
        <f t="shared" si="1"/>
        <v>4087</v>
      </c>
      <c r="F30" s="353">
        <f t="shared" si="1"/>
        <v>25518</v>
      </c>
      <c r="G30" s="414">
        <f t="shared" si="1"/>
        <v>29652</v>
      </c>
      <c r="H30" s="418">
        <f t="shared" si="1"/>
        <v>0.99999999999999989</v>
      </c>
    </row>
    <row r="31" spans="1:8">
      <c r="A31" s="356"/>
      <c r="B31" s="357"/>
      <c r="C31" s="358"/>
      <c r="D31" s="358"/>
      <c r="E31" s="358"/>
      <c r="F31" s="358"/>
      <c r="G31" s="358"/>
    </row>
    <row r="32" spans="1:8">
      <c r="A32" s="28" t="s">
        <v>143</v>
      </c>
      <c r="G32" s="57" t="s">
        <v>12</v>
      </c>
    </row>
    <row r="33" spans="1:7">
      <c r="A33" s="546">
        <v>44138</v>
      </c>
      <c r="B33" s="546"/>
      <c r="G33" s="57" t="s">
        <v>90</v>
      </c>
    </row>
  </sheetData>
  <mergeCells count="8">
    <mergeCell ref="H5:H6"/>
    <mergeCell ref="C4:H4"/>
    <mergeCell ref="A33:B33"/>
    <mergeCell ref="A2:G2"/>
    <mergeCell ref="A3:C3"/>
    <mergeCell ref="C5:D5"/>
    <mergeCell ref="E5:F5"/>
    <mergeCell ref="G5:G6"/>
  </mergeCells>
  <pageMargins left="0.11811023622047245" right="0.11811023622047245" top="0.35433070866141736" bottom="0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34"/>
  <sheetViews>
    <sheetView topLeftCell="A19" zoomScale="70" zoomScaleNormal="70" workbookViewId="0">
      <selection activeCell="G37" sqref="G37"/>
    </sheetView>
  </sheetViews>
  <sheetFormatPr defaultRowHeight="12"/>
  <cols>
    <col min="1" max="1" width="5.42578125" style="28" customWidth="1"/>
    <col min="2" max="2" width="55.5703125" style="28" customWidth="1"/>
    <col min="3" max="7" width="12.7109375" style="28" customWidth="1"/>
    <col min="8" max="8" width="11.7109375" style="28" customWidth="1"/>
    <col min="9" max="16384" width="9.140625" style="28"/>
  </cols>
  <sheetData>
    <row r="2" spans="1:8">
      <c r="A2" s="332" t="s">
        <v>108</v>
      </c>
      <c r="B2" s="404"/>
    </row>
    <row r="3" spans="1:8" ht="27" customHeight="1">
      <c r="A3" s="541" t="s">
        <v>137</v>
      </c>
      <c r="B3" s="541"/>
      <c r="C3" s="541"/>
      <c r="D3" s="541"/>
      <c r="E3" s="541"/>
      <c r="F3" s="541"/>
      <c r="G3" s="541"/>
    </row>
    <row r="4" spans="1:8" ht="12.75" thickBot="1">
      <c r="A4" s="540"/>
      <c r="B4" s="540"/>
      <c r="C4" s="540"/>
    </row>
    <row r="5" spans="1:8" ht="16.5" customHeight="1">
      <c r="A5" s="367"/>
      <c r="B5" s="368"/>
      <c r="C5" s="553" t="s">
        <v>59</v>
      </c>
      <c r="D5" s="544"/>
      <c r="E5" s="544"/>
      <c r="F5" s="544"/>
      <c r="G5" s="544"/>
      <c r="H5" s="419"/>
    </row>
    <row r="6" spans="1:8">
      <c r="A6" s="369" t="s">
        <v>60</v>
      </c>
      <c r="B6" s="370" t="s">
        <v>61</v>
      </c>
      <c r="C6" s="554" t="s">
        <v>62</v>
      </c>
      <c r="D6" s="548"/>
      <c r="E6" s="548" t="s">
        <v>63</v>
      </c>
      <c r="F6" s="548"/>
      <c r="G6" s="548" t="s">
        <v>6</v>
      </c>
      <c r="H6" s="571" t="s">
        <v>112</v>
      </c>
    </row>
    <row r="7" spans="1:8" ht="27" customHeight="1" thickBot="1">
      <c r="A7" s="371"/>
      <c r="B7" s="371"/>
      <c r="C7" s="372" t="s">
        <v>64</v>
      </c>
      <c r="D7" s="323" t="s">
        <v>65</v>
      </c>
      <c r="E7" s="323" t="s">
        <v>65</v>
      </c>
      <c r="F7" s="323" t="s">
        <v>66</v>
      </c>
      <c r="G7" s="570"/>
      <c r="H7" s="572"/>
    </row>
    <row r="8" spans="1:8" ht="15" customHeight="1">
      <c r="A8" s="373">
        <v>1</v>
      </c>
      <c r="B8" s="374" t="s">
        <v>67</v>
      </c>
      <c r="C8" s="375">
        <v>0</v>
      </c>
      <c r="D8" s="108">
        <v>0</v>
      </c>
      <c r="E8" s="50">
        <v>1</v>
      </c>
      <c r="F8" s="50">
        <v>169</v>
      </c>
      <c r="G8" s="405">
        <f>SUM(C8+D8+E8+F8)</f>
        <v>170</v>
      </c>
      <c r="H8" s="415">
        <f>G8/G31</f>
        <v>5.7872340425531915E-3</v>
      </c>
    </row>
    <row r="9" spans="1:8" ht="15" customHeight="1">
      <c r="A9" s="378">
        <v>2</v>
      </c>
      <c r="B9" s="379" t="s">
        <v>68</v>
      </c>
      <c r="C9" s="380">
        <v>0</v>
      </c>
      <c r="D9" s="48">
        <v>0</v>
      </c>
      <c r="E9" s="49">
        <v>0</v>
      </c>
      <c r="F9" s="49">
        <v>35</v>
      </c>
      <c r="G9" s="64">
        <f>SUM(C9+D9+E9+F9)</f>
        <v>35</v>
      </c>
      <c r="H9" s="399">
        <f>G9/G31</f>
        <v>1.1914893617021277E-3</v>
      </c>
    </row>
    <row r="10" spans="1:8" ht="15" customHeight="1">
      <c r="A10" s="378">
        <v>3</v>
      </c>
      <c r="B10" s="379" t="s">
        <v>69</v>
      </c>
      <c r="C10" s="380">
        <v>6</v>
      </c>
      <c r="D10" s="48">
        <v>0</v>
      </c>
      <c r="E10" s="49">
        <v>1</v>
      </c>
      <c r="F10" s="49">
        <v>1494</v>
      </c>
      <c r="G10" s="64">
        <f t="shared" ref="G10:G30" si="0">SUM(C10+D10+E10+F10)</f>
        <v>1501</v>
      </c>
      <c r="H10" s="399">
        <f>G10/G31</f>
        <v>5.1097872340425531E-2</v>
      </c>
    </row>
    <row r="11" spans="1:8" ht="24">
      <c r="A11" s="378">
        <v>4</v>
      </c>
      <c r="B11" s="379" t="s">
        <v>70</v>
      </c>
      <c r="C11" s="68">
        <v>0</v>
      </c>
      <c r="D11" s="53">
        <v>0</v>
      </c>
      <c r="E11" s="54">
        <v>0</v>
      </c>
      <c r="F11" s="49">
        <v>10</v>
      </c>
      <c r="G11" s="64">
        <f t="shared" si="0"/>
        <v>10</v>
      </c>
      <c r="H11" s="399">
        <f>G11/G31</f>
        <v>3.4042553191489364E-4</v>
      </c>
    </row>
    <row r="12" spans="1:8" ht="23.25" customHeight="1">
      <c r="A12" s="378">
        <v>5</v>
      </c>
      <c r="B12" s="379" t="s">
        <v>71</v>
      </c>
      <c r="C12" s="68">
        <v>0</v>
      </c>
      <c r="D12" s="48">
        <v>0</v>
      </c>
      <c r="E12" s="49">
        <v>0</v>
      </c>
      <c r="F12" s="49">
        <v>64</v>
      </c>
      <c r="G12" s="64">
        <f t="shared" si="0"/>
        <v>64</v>
      </c>
      <c r="H12" s="399">
        <f>G12/G31</f>
        <v>2.1787234042553194E-3</v>
      </c>
    </row>
    <row r="13" spans="1:8" ht="15" customHeight="1">
      <c r="A13" s="378">
        <v>6</v>
      </c>
      <c r="B13" s="379" t="s">
        <v>72</v>
      </c>
      <c r="C13" s="68">
        <v>0</v>
      </c>
      <c r="D13" s="48">
        <v>1</v>
      </c>
      <c r="E13" s="49">
        <v>4</v>
      </c>
      <c r="F13" s="49">
        <v>1222</v>
      </c>
      <c r="G13" s="64">
        <f t="shared" si="0"/>
        <v>1227</v>
      </c>
      <c r="H13" s="399">
        <f>G13/G31</f>
        <v>4.1770212765957444E-2</v>
      </c>
    </row>
    <row r="14" spans="1:8" ht="25.5" customHeight="1">
      <c r="A14" s="378">
        <v>7</v>
      </c>
      <c r="B14" s="379" t="s">
        <v>73</v>
      </c>
      <c r="C14" s="68">
        <v>0</v>
      </c>
      <c r="D14" s="48">
        <v>2</v>
      </c>
      <c r="E14" s="49">
        <v>32</v>
      </c>
      <c r="F14" s="49">
        <v>4649</v>
      </c>
      <c r="G14" s="64">
        <f t="shared" si="0"/>
        <v>4683</v>
      </c>
      <c r="H14" s="399">
        <f>G14/G31</f>
        <v>0.15942127659574468</v>
      </c>
    </row>
    <row r="15" spans="1:8" ht="15" customHeight="1">
      <c r="A15" s="378">
        <v>8</v>
      </c>
      <c r="B15" s="379" t="s">
        <v>74</v>
      </c>
      <c r="C15" s="68">
        <v>0</v>
      </c>
      <c r="D15" s="48">
        <v>0</v>
      </c>
      <c r="E15" s="48">
        <v>16</v>
      </c>
      <c r="F15" s="49">
        <v>1287</v>
      </c>
      <c r="G15" s="64">
        <f t="shared" si="0"/>
        <v>1303</v>
      </c>
      <c r="H15" s="399">
        <f>G15/G31</f>
        <v>4.4357446808510635E-2</v>
      </c>
    </row>
    <row r="16" spans="1:8" ht="24">
      <c r="A16" s="378">
        <v>9</v>
      </c>
      <c r="B16" s="379" t="s">
        <v>75</v>
      </c>
      <c r="C16" s="68">
        <v>0</v>
      </c>
      <c r="D16" s="48">
        <v>24</v>
      </c>
      <c r="E16" s="48">
        <v>3400</v>
      </c>
      <c r="F16" s="49">
        <v>3770</v>
      </c>
      <c r="G16" s="64">
        <f t="shared" si="0"/>
        <v>7194</v>
      </c>
      <c r="H16" s="399">
        <f>G16/G31</f>
        <v>0.24490212765957448</v>
      </c>
    </row>
    <row r="17" spans="1:8" ht="15" customHeight="1">
      <c r="A17" s="378">
        <v>10</v>
      </c>
      <c r="B17" s="379" t="s">
        <v>76</v>
      </c>
      <c r="C17" s="68">
        <v>0</v>
      </c>
      <c r="D17" s="48">
        <v>0</v>
      </c>
      <c r="E17" s="49">
        <v>1</v>
      </c>
      <c r="F17" s="49">
        <v>628</v>
      </c>
      <c r="G17" s="64">
        <f t="shared" si="0"/>
        <v>629</v>
      </c>
      <c r="H17" s="399">
        <f>G17/G31</f>
        <v>2.141276595744681E-2</v>
      </c>
    </row>
    <row r="18" spans="1:8" ht="15" customHeight="1">
      <c r="A18" s="378">
        <v>11</v>
      </c>
      <c r="B18" s="379" t="s">
        <v>77</v>
      </c>
      <c r="C18" s="68">
        <v>0</v>
      </c>
      <c r="D18" s="48">
        <v>0</v>
      </c>
      <c r="E18" s="49">
        <v>1</v>
      </c>
      <c r="F18" s="49">
        <v>1116</v>
      </c>
      <c r="G18" s="64">
        <f t="shared" si="0"/>
        <v>1117</v>
      </c>
      <c r="H18" s="399">
        <f>G18/G31</f>
        <v>3.8025531914893614E-2</v>
      </c>
    </row>
    <row r="19" spans="1:8" ht="15" customHeight="1">
      <c r="A19" s="378">
        <v>12</v>
      </c>
      <c r="B19" s="379" t="s">
        <v>78</v>
      </c>
      <c r="C19" s="68">
        <v>0</v>
      </c>
      <c r="D19" s="48">
        <v>0</v>
      </c>
      <c r="E19" s="49">
        <v>8</v>
      </c>
      <c r="F19" s="49">
        <v>226</v>
      </c>
      <c r="G19" s="64">
        <f t="shared" si="0"/>
        <v>234</v>
      </c>
      <c r="H19" s="399">
        <f>G19/G31</f>
        <v>7.9659574468085113E-3</v>
      </c>
    </row>
    <row r="20" spans="1:8" ht="15" customHeight="1">
      <c r="A20" s="378">
        <v>13</v>
      </c>
      <c r="B20" s="379" t="s">
        <v>79</v>
      </c>
      <c r="C20" s="68">
        <v>0</v>
      </c>
      <c r="D20" s="48">
        <v>0</v>
      </c>
      <c r="E20" s="49">
        <v>2</v>
      </c>
      <c r="F20" s="49">
        <v>1363</v>
      </c>
      <c r="G20" s="64">
        <f t="shared" si="0"/>
        <v>1365</v>
      </c>
      <c r="H20" s="399">
        <f>G20/G31</f>
        <v>4.6468085106382978E-2</v>
      </c>
    </row>
    <row r="21" spans="1:8" ht="15" customHeight="1">
      <c r="A21" s="378">
        <v>14</v>
      </c>
      <c r="B21" s="379" t="s">
        <v>80</v>
      </c>
      <c r="C21" s="68">
        <v>0</v>
      </c>
      <c r="D21" s="48">
        <v>0</v>
      </c>
      <c r="E21" s="49">
        <v>21</v>
      </c>
      <c r="F21" s="49">
        <v>1093</v>
      </c>
      <c r="G21" s="64">
        <f t="shared" si="0"/>
        <v>1114</v>
      </c>
      <c r="H21" s="399">
        <f>G21/G31</f>
        <v>3.7923404255319149E-2</v>
      </c>
    </row>
    <row r="22" spans="1:8" ht="15" customHeight="1">
      <c r="A22" s="382">
        <v>15</v>
      </c>
      <c r="B22" s="379" t="s">
        <v>81</v>
      </c>
      <c r="C22" s="68">
        <v>0</v>
      </c>
      <c r="D22" s="48">
        <v>0</v>
      </c>
      <c r="E22" s="49">
        <v>1</v>
      </c>
      <c r="F22" s="49">
        <v>1951</v>
      </c>
      <c r="G22" s="64">
        <f t="shared" si="0"/>
        <v>1952</v>
      </c>
      <c r="H22" s="399">
        <f>G22/G31</f>
        <v>6.645106382978723E-2</v>
      </c>
    </row>
    <row r="23" spans="1:8" s="171" customFormat="1" ht="15" customHeight="1">
      <c r="A23" s="408">
        <v>16</v>
      </c>
      <c r="B23" s="383" t="s">
        <v>82</v>
      </c>
      <c r="C23" s="285">
        <v>0</v>
      </c>
      <c r="D23" s="286">
        <v>1</v>
      </c>
      <c r="E23" s="158">
        <v>0</v>
      </c>
      <c r="F23" s="158">
        <v>3092</v>
      </c>
      <c r="G23" s="287">
        <f t="shared" si="0"/>
        <v>3093</v>
      </c>
      <c r="H23" s="420">
        <f>G23/G31</f>
        <v>0.1052936170212766</v>
      </c>
    </row>
    <row r="24" spans="1:8" ht="23.25" customHeight="1">
      <c r="A24" s="382">
        <v>17</v>
      </c>
      <c r="B24" s="379" t="s">
        <v>83</v>
      </c>
      <c r="C24" s="68">
        <v>0</v>
      </c>
      <c r="D24" s="48">
        <v>1</v>
      </c>
      <c r="E24" s="49">
        <v>3</v>
      </c>
      <c r="F24" s="49">
        <v>539</v>
      </c>
      <c r="G24" s="64">
        <f t="shared" si="0"/>
        <v>543</v>
      </c>
      <c r="H24" s="399">
        <f>G24/G31</f>
        <v>1.8485106382978723E-2</v>
      </c>
    </row>
    <row r="25" spans="1:8" ht="15" customHeight="1">
      <c r="A25" s="378">
        <v>18</v>
      </c>
      <c r="B25" s="383" t="s">
        <v>84</v>
      </c>
      <c r="C25" s="68">
        <v>0</v>
      </c>
      <c r="D25" s="48">
        <v>0</v>
      </c>
      <c r="E25" s="49">
        <v>10</v>
      </c>
      <c r="F25" s="49">
        <v>614</v>
      </c>
      <c r="G25" s="64">
        <f t="shared" si="0"/>
        <v>624</v>
      </c>
      <c r="H25" s="399">
        <f>G25/G31</f>
        <v>2.1242553191489363E-2</v>
      </c>
    </row>
    <row r="26" spans="1:8" ht="15" customHeight="1">
      <c r="A26" s="378">
        <v>19</v>
      </c>
      <c r="B26" s="383" t="s">
        <v>85</v>
      </c>
      <c r="C26" s="68">
        <v>0</v>
      </c>
      <c r="D26" s="48">
        <v>0</v>
      </c>
      <c r="E26" s="49">
        <v>10</v>
      </c>
      <c r="F26" s="49">
        <v>796</v>
      </c>
      <c r="G26" s="64">
        <f t="shared" si="0"/>
        <v>806</v>
      </c>
      <c r="H26" s="399">
        <f>G26/G31</f>
        <v>2.7438297872340426E-2</v>
      </c>
    </row>
    <row r="27" spans="1:8" ht="35.25" customHeight="1">
      <c r="A27" s="382">
        <v>20</v>
      </c>
      <c r="B27" s="383" t="s">
        <v>86</v>
      </c>
      <c r="C27" s="68">
        <v>0</v>
      </c>
      <c r="D27" s="48">
        <v>0</v>
      </c>
      <c r="E27" s="49">
        <v>0</v>
      </c>
      <c r="F27" s="49">
        <v>42</v>
      </c>
      <c r="G27" s="411">
        <f t="shared" si="0"/>
        <v>42</v>
      </c>
      <c r="H27" s="399">
        <f>G27/G31</f>
        <v>1.4297872340425532E-3</v>
      </c>
    </row>
    <row r="28" spans="1:8" ht="15" customHeight="1">
      <c r="A28" s="378">
        <v>21</v>
      </c>
      <c r="B28" s="383" t="s">
        <v>87</v>
      </c>
      <c r="C28" s="68">
        <v>0</v>
      </c>
      <c r="D28" s="48">
        <v>0</v>
      </c>
      <c r="E28" s="49">
        <v>0</v>
      </c>
      <c r="F28" s="49">
        <v>20</v>
      </c>
      <c r="G28" s="64">
        <f t="shared" si="0"/>
        <v>20</v>
      </c>
      <c r="H28" s="399">
        <f>G28/G31</f>
        <v>6.8085106382978727E-4</v>
      </c>
    </row>
    <row r="29" spans="1:8" ht="15" customHeight="1">
      <c r="A29" s="378">
        <v>22</v>
      </c>
      <c r="B29" s="378" t="s">
        <v>88</v>
      </c>
      <c r="C29" s="68">
        <v>0</v>
      </c>
      <c r="D29" s="48">
        <v>4</v>
      </c>
      <c r="E29" s="49">
        <v>9</v>
      </c>
      <c r="F29" s="49">
        <v>1623</v>
      </c>
      <c r="G29" s="64">
        <f t="shared" si="0"/>
        <v>1636</v>
      </c>
      <c r="H29" s="399">
        <f>G29/G31</f>
        <v>5.5693617021276592E-2</v>
      </c>
    </row>
    <row r="30" spans="1:8" ht="15" customHeight="1" thickBot="1">
      <c r="A30" s="384">
        <v>23</v>
      </c>
      <c r="B30" s="384" t="s">
        <v>89</v>
      </c>
      <c r="C30" s="68">
        <v>0</v>
      </c>
      <c r="D30" s="56">
        <v>0</v>
      </c>
      <c r="E30" s="331">
        <v>0</v>
      </c>
      <c r="F30" s="331">
        <v>13</v>
      </c>
      <c r="G30" s="411">
        <f t="shared" si="0"/>
        <v>13</v>
      </c>
      <c r="H30" s="400">
        <f>G30/G31</f>
        <v>4.4255319148936168E-4</v>
      </c>
    </row>
    <row r="31" spans="1:8" ht="15" customHeight="1" thickBot="1">
      <c r="A31" s="413"/>
      <c r="B31" s="402" t="s">
        <v>6</v>
      </c>
      <c r="C31" s="389">
        <f>SUM(C8:C30)</f>
        <v>6</v>
      </c>
      <c r="D31" s="353">
        <f t="shared" ref="D31:H31" si="1">SUM(D8:D30)</f>
        <v>33</v>
      </c>
      <c r="E31" s="353">
        <f t="shared" si="1"/>
        <v>3520</v>
      </c>
      <c r="F31" s="353">
        <f t="shared" si="1"/>
        <v>25816</v>
      </c>
      <c r="G31" s="414">
        <f t="shared" si="1"/>
        <v>29375</v>
      </c>
      <c r="H31" s="418">
        <f t="shared" si="1"/>
        <v>1.0000000000000002</v>
      </c>
    </row>
    <row r="32" spans="1:8">
      <c r="A32" s="356"/>
      <c r="B32" s="357"/>
      <c r="C32" s="358"/>
      <c r="D32" s="358"/>
      <c r="E32" s="358"/>
      <c r="F32" s="358"/>
      <c r="G32" s="358"/>
    </row>
    <row r="33" spans="1:7">
      <c r="A33" s="28" t="s">
        <v>143</v>
      </c>
      <c r="G33" s="57" t="s">
        <v>12</v>
      </c>
    </row>
    <row r="34" spans="1:7">
      <c r="A34" s="550">
        <v>44138</v>
      </c>
      <c r="B34" s="550"/>
      <c r="G34" s="57" t="s">
        <v>90</v>
      </c>
    </row>
  </sheetData>
  <mergeCells count="8">
    <mergeCell ref="H6:H7"/>
    <mergeCell ref="A34:B34"/>
    <mergeCell ref="A3:G3"/>
    <mergeCell ref="A4:C4"/>
    <mergeCell ref="C5:G5"/>
    <mergeCell ref="C6:D6"/>
    <mergeCell ref="E6:F6"/>
    <mergeCell ref="G6:G7"/>
  </mergeCells>
  <pageMargins left="0.11811023622047245" right="0.11811023622047245" top="0.35433070866141736" bottom="0.1574803149606299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3"/>
  <sheetViews>
    <sheetView topLeftCell="A19" zoomScale="70" zoomScaleNormal="70" workbookViewId="0">
      <selection activeCell="C9" sqref="C9"/>
    </sheetView>
  </sheetViews>
  <sheetFormatPr defaultRowHeight="12"/>
  <cols>
    <col min="1" max="1" width="5.42578125" style="28" customWidth="1"/>
    <col min="2" max="2" width="60.85546875" style="28" customWidth="1"/>
    <col min="3" max="7" width="12.7109375" style="28" customWidth="1"/>
    <col min="8" max="8" width="12.85546875" style="28" customWidth="1"/>
    <col min="9" max="11" width="9.140625" style="28"/>
    <col min="12" max="12" width="11.5703125" style="28" bestFit="1" customWidth="1"/>
    <col min="13" max="16384" width="9.140625" style="28"/>
  </cols>
  <sheetData>
    <row r="1" spans="1:8">
      <c r="A1" s="332" t="s">
        <v>109</v>
      </c>
      <c r="B1" s="404"/>
    </row>
    <row r="2" spans="1:8" ht="26.25" customHeight="1">
      <c r="A2" s="573" t="s">
        <v>138</v>
      </c>
      <c r="B2" s="573"/>
      <c r="C2" s="573"/>
      <c r="D2" s="573"/>
      <c r="E2" s="573"/>
      <c r="F2" s="573"/>
      <c r="G2" s="573"/>
    </row>
    <row r="3" spans="1:8" ht="11.25" customHeight="1" thickBot="1">
      <c r="A3" s="540"/>
      <c r="B3" s="540"/>
      <c r="C3" s="540"/>
    </row>
    <row r="4" spans="1:8" ht="14.25" customHeight="1">
      <c r="A4" s="367"/>
      <c r="B4" s="368"/>
      <c r="C4" s="553" t="s">
        <v>59</v>
      </c>
      <c r="D4" s="544"/>
      <c r="E4" s="544"/>
      <c r="F4" s="544"/>
      <c r="G4" s="544"/>
      <c r="H4" s="545"/>
    </row>
    <row r="5" spans="1:8" ht="13.5" customHeight="1">
      <c r="A5" s="369" t="s">
        <v>60</v>
      </c>
      <c r="B5" s="370" t="s">
        <v>61</v>
      </c>
      <c r="C5" s="554" t="s">
        <v>62</v>
      </c>
      <c r="D5" s="548"/>
      <c r="E5" s="548" t="s">
        <v>63</v>
      </c>
      <c r="F5" s="548"/>
      <c r="G5" s="548" t="s">
        <v>6</v>
      </c>
      <c r="H5" s="571" t="s">
        <v>112</v>
      </c>
    </row>
    <row r="6" spans="1:8" ht="24" customHeight="1" thickBot="1">
      <c r="A6" s="371"/>
      <c r="B6" s="371"/>
      <c r="C6" s="372" t="s">
        <v>64</v>
      </c>
      <c r="D6" s="323" t="s">
        <v>65</v>
      </c>
      <c r="E6" s="323" t="s">
        <v>65</v>
      </c>
      <c r="F6" s="323" t="s">
        <v>66</v>
      </c>
      <c r="G6" s="570"/>
      <c r="H6" s="572"/>
    </row>
    <row r="7" spans="1:8" ht="14.25" customHeight="1">
      <c r="A7" s="373">
        <v>1</v>
      </c>
      <c r="B7" s="374" t="s">
        <v>67</v>
      </c>
      <c r="C7" s="375">
        <v>0</v>
      </c>
      <c r="D7" s="108">
        <v>0</v>
      </c>
      <c r="E7" s="50">
        <v>1</v>
      </c>
      <c r="F7" s="50">
        <v>169</v>
      </c>
      <c r="G7" s="405">
        <f>SUM(C7+D7+E7+F7)</f>
        <v>170</v>
      </c>
      <c r="H7" s="415">
        <f>G7/G30</f>
        <v>5.9770761549820684E-3</v>
      </c>
    </row>
    <row r="8" spans="1:8" ht="14.25" customHeight="1">
      <c r="A8" s="378">
        <v>2</v>
      </c>
      <c r="B8" s="379" t="s">
        <v>68</v>
      </c>
      <c r="C8" s="380">
        <v>0</v>
      </c>
      <c r="D8" s="48">
        <v>0</v>
      </c>
      <c r="E8" s="49">
        <v>0</v>
      </c>
      <c r="F8" s="49">
        <v>32</v>
      </c>
      <c r="G8" s="64">
        <f>SUM(C8+D8+E8+F8)</f>
        <v>32</v>
      </c>
      <c r="H8" s="399">
        <f>G8/G30</f>
        <v>1.1250966879966246E-3</v>
      </c>
    </row>
    <row r="9" spans="1:8" ht="12.75" customHeight="1">
      <c r="A9" s="378">
        <v>3</v>
      </c>
      <c r="B9" s="379" t="s">
        <v>69</v>
      </c>
      <c r="C9" s="380">
        <v>16</v>
      </c>
      <c r="D9" s="48">
        <v>0</v>
      </c>
      <c r="E9" s="49">
        <v>1</v>
      </c>
      <c r="F9" s="49">
        <v>1518</v>
      </c>
      <c r="G9" s="64">
        <f>SUM(C9+D9+E9+F9)</f>
        <v>1535</v>
      </c>
      <c r="H9" s="399">
        <f>G9/G30</f>
        <v>5.3969481752338094E-2</v>
      </c>
    </row>
    <row r="10" spans="1:8" ht="15" customHeight="1">
      <c r="A10" s="378">
        <v>4</v>
      </c>
      <c r="B10" s="379" t="s">
        <v>70</v>
      </c>
      <c r="C10" s="68">
        <v>0</v>
      </c>
      <c r="D10" s="53">
        <v>0</v>
      </c>
      <c r="E10" s="54">
        <v>0</v>
      </c>
      <c r="F10" s="49">
        <v>9</v>
      </c>
      <c r="G10" s="64">
        <f t="shared" ref="G10:G29" si="0">SUM(C10+D10+E10+F10)</f>
        <v>9</v>
      </c>
      <c r="H10" s="399">
        <f>G10/G30</f>
        <v>3.1643344349905071E-4</v>
      </c>
    </row>
    <row r="11" spans="1:8" ht="24" customHeight="1">
      <c r="A11" s="378">
        <v>5</v>
      </c>
      <c r="B11" s="379" t="s">
        <v>71</v>
      </c>
      <c r="C11" s="68">
        <v>0</v>
      </c>
      <c r="D11" s="48">
        <v>0</v>
      </c>
      <c r="E11" s="49">
        <v>0</v>
      </c>
      <c r="F11" s="49">
        <v>71</v>
      </c>
      <c r="G11" s="64">
        <f t="shared" si="0"/>
        <v>71</v>
      </c>
      <c r="H11" s="399">
        <f>G11/G30</f>
        <v>2.4963082764925112E-3</v>
      </c>
    </row>
    <row r="12" spans="1:8" ht="12.75" customHeight="1">
      <c r="A12" s="378">
        <v>6</v>
      </c>
      <c r="B12" s="379" t="s">
        <v>72</v>
      </c>
      <c r="C12" s="68">
        <v>0</v>
      </c>
      <c r="D12" s="48">
        <v>0</v>
      </c>
      <c r="E12" s="49">
        <v>3</v>
      </c>
      <c r="F12" s="49">
        <v>1301</v>
      </c>
      <c r="G12" s="64">
        <f t="shared" si="0"/>
        <v>1304</v>
      </c>
      <c r="H12" s="399">
        <f>G12/G30</f>
        <v>4.5847690035862455E-2</v>
      </c>
    </row>
    <row r="13" spans="1:8" ht="24" customHeight="1">
      <c r="A13" s="378">
        <v>7</v>
      </c>
      <c r="B13" s="379" t="s">
        <v>73</v>
      </c>
      <c r="C13" s="68">
        <v>0</v>
      </c>
      <c r="D13" s="48">
        <v>2</v>
      </c>
      <c r="E13" s="49">
        <v>26</v>
      </c>
      <c r="F13" s="49">
        <v>4787</v>
      </c>
      <c r="G13" s="64">
        <f t="shared" si="0"/>
        <v>4815</v>
      </c>
      <c r="H13" s="399">
        <f>G13/G30</f>
        <v>0.16929189227199212</v>
      </c>
    </row>
    <row r="14" spans="1:8" ht="14.25" customHeight="1">
      <c r="A14" s="378">
        <v>8</v>
      </c>
      <c r="B14" s="379" t="s">
        <v>74</v>
      </c>
      <c r="C14" s="68">
        <v>0</v>
      </c>
      <c r="D14" s="48">
        <v>0</v>
      </c>
      <c r="E14" s="48">
        <v>16</v>
      </c>
      <c r="F14" s="49">
        <v>1236</v>
      </c>
      <c r="G14" s="64">
        <f t="shared" si="0"/>
        <v>1252</v>
      </c>
      <c r="H14" s="399">
        <f>G14/G30</f>
        <v>4.4019407917867945E-2</v>
      </c>
    </row>
    <row r="15" spans="1:8" ht="24" customHeight="1">
      <c r="A15" s="378">
        <v>9</v>
      </c>
      <c r="B15" s="379" t="s">
        <v>75</v>
      </c>
      <c r="C15" s="68">
        <v>0</v>
      </c>
      <c r="D15" s="48">
        <v>20</v>
      </c>
      <c r="E15" s="48">
        <v>3095</v>
      </c>
      <c r="F15" s="49">
        <v>3663</v>
      </c>
      <c r="G15" s="64">
        <f t="shared" si="0"/>
        <v>6778</v>
      </c>
      <c r="H15" s="399">
        <f>G15/G30</f>
        <v>0.23830954222628506</v>
      </c>
    </row>
    <row r="16" spans="1:8" ht="15" customHeight="1">
      <c r="A16" s="378">
        <v>10</v>
      </c>
      <c r="B16" s="379" t="s">
        <v>76</v>
      </c>
      <c r="C16" s="68">
        <v>0</v>
      </c>
      <c r="D16" s="48">
        <v>0</v>
      </c>
      <c r="E16" s="49">
        <v>1</v>
      </c>
      <c r="F16" s="49">
        <v>637</v>
      </c>
      <c r="G16" s="64">
        <f t="shared" si="0"/>
        <v>638</v>
      </c>
      <c r="H16" s="399">
        <f>G16/G30</f>
        <v>2.2431615216932706E-2</v>
      </c>
    </row>
    <row r="17" spans="1:12" ht="15" customHeight="1">
      <c r="A17" s="378">
        <v>11</v>
      </c>
      <c r="B17" s="379" t="s">
        <v>77</v>
      </c>
      <c r="C17" s="68">
        <v>0</v>
      </c>
      <c r="D17" s="48">
        <v>0</v>
      </c>
      <c r="E17" s="49">
        <v>1</v>
      </c>
      <c r="F17" s="49">
        <v>1147</v>
      </c>
      <c r="G17" s="64">
        <f t="shared" si="0"/>
        <v>1148</v>
      </c>
      <c r="H17" s="399">
        <f>G17/G30</f>
        <v>4.036284368187891E-2</v>
      </c>
    </row>
    <row r="18" spans="1:12" ht="15" customHeight="1">
      <c r="A18" s="378">
        <v>12</v>
      </c>
      <c r="B18" s="379" t="s">
        <v>78</v>
      </c>
      <c r="C18" s="68">
        <v>0</v>
      </c>
      <c r="D18" s="48">
        <v>0</v>
      </c>
      <c r="E18" s="49">
        <v>8</v>
      </c>
      <c r="F18" s="49">
        <v>225</v>
      </c>
      <c r="G18" s="64">
        <f t="shared" si="0"/>
        <v>233</v>
      </c>
      <c r="H18" s="399">
        <f>G18/G30</f>
        <v>8.1921102594754245E-3</v>
      </c>
    </row>
    <row r="19" spans="1:12" ht="15" customHeight="1">
      <c r="A19" s="378">
        <v>13</v>
      </c>
      <c r="B19" s="379" t="s">
        <v>79</v>
      </c>
      <c r="C19" s="68">
        <v>0</v>
      </c>
      <c r="D19" s="48">
        <v>0</v>
      </c>
      <c r="E19" s="49">
        <v>2</v>
      </c>
      <c r="F19" s="49">
        <v>1391</v>
      </c>
      <c r="G19" s="64">
        <f t="shared" si="0"/>
        <v>1393</v>
      </c>
      <c r="H19" s="399">
        <f>G19/G30</f>
        <v>4.897686519935307E-2</v>
      </c>
    </row>
    <row r="20" spans="1:12" ht="14.25" customHeight="1">
      <c r="A20" s="378">
        <v>14</v>
      </c>
      <c r="B20" s="379" t="s">
        <v>80</v>
      </c>
      <c r="C20" s="68">
        <v>0</v>
      </c>
      <c r="D20" s="48">
        <v>0</v>
      </c>
      <c r="E20" s="49">
        <v>20</v>
      </c>
      <c r="F20" s="49">
        <v>1091</v>
      </c>
      <c r="G20" s="64">
        <f t="shared" si="0"/>
        <v>1111</v>
      </c>
      <c r="H20" s="399">
        <f>G20/G30</f>
        <v>3.9061950636382813E-2</v>
      </c>
    </row>
    <row r="21" spans="1:12" ht="13.5" customHeight="1">
      <c r="A21" s="382">
        <v>15</v>
      </c>
      <c r="B21" s="379" t="s">
        <v>81</v>
      </c>
      <c r="C21" s="68">
        <v>0</v>
      </c>
      <c r="D21" s="48">
        <v>0</v>
      </c>
      <c r="E21" s="49">
        <v>1</v>
      </c>
      <c r="F21" s="49">
        <v>1783</v>
      </c>
      <c r="G21" s="64">
        <f t="shared" si="0"/>
        <v>1784</v>
      </c>
      <c r="H21" s="399">
        <f>G21/G30</f>
        <v>6.2724140355811822E-2</v>
      </c>
    </row>
    <row r="22" spans="1:12" ht="15" customHeight="1">
      <c r="A22" s="378">
        <v>16</v>
      </c>
      <c r="B22" s="379" t="s">
        <v>82</v>
      </c>
      <c r="C22" s="68">
        <v>0</v>
      </c>
      <c r="D22" s="48">
        <v>1</v>
      </c>
      <c r="E22" s="49">
        <v>0</v>
      </c>
      <c r="F22" s="49">
        <v>2435</v>
      </c>
      <c r="G22" s="64">
        <f t="shared" si="0"/>
        <v>2436</v>
      </c>
      <c r="H22" s="399">
        <f>G22/G30</f>
        <v>8.564798537374306E-2</v>
      </c>
    </row>
    <row r="23" spans="1:12" ht="24" customHeight="1">
      <c r="A23" s="382">
        <v>17</v>
      </c>
      <c r="B23" s="379" t="s">
        <v>83</v>
      </c>
      <c r="C23" s="68">
        <v>0</v>
      </c>
      <c r="D23" s="48">
        <v>1</v>
      </c>
      <c r="E23" s="49">
        <v>3</v>
      </c>
      <c r="F23" s="49">
        <v>577</v>
      </c>
      <c r="G23" s="64">
        <f t="shared" si="0"/>
        <v>581</v>
      </c>
      <c r="H23" s="399">
        <f>G23/G30</f>
        <v>2.0427536741438719E-2</v>
      </c>
    </row>
    <row r="24" spans="1:12" ht="17.25" customHeight="1">
      <c r="A24" s="378">
        <v>18</v>
      </c>
      <c r="B24" s="383" t="s">
        <v>84</v>
      </c>
      <c r="C24" s="68">
        <v>0</v>
      </c>
      <c r="D24" s="48">
        <v>0</v>
      </c>
      <c r="E24" s="49">
        <v>8</v>
      </c>
      <c r="F24" s="49">
        <v>591</v>
      </c>
      <c r="G24" s="64">
        <f t="shared" si="0"/>
        <v>599</v>
      </c>
      <c r="H24" s="399">
        <f>G24/G30</f>
        <v>2.1060403628436818E-2</v>
      </c>
    </row>
    <row r="25" spans="1:12" ht="15.75" customHeight="1">
      <c r="A25" s="378">
        <v>19</v>
      </c>
      <c r="B25" s="383" t="s">
        <v>85</v>
      </c>
      <c r="C25" s="68">
        <v>0</v>
      </c>
      <c r="D25" s="48">
        <v>0</v>
      </c>
      <c r="E25" s="49">
        <v>7</v>
      </c>
      <c r="F25" s="49">
        <v>749</v>
      </c>
      <c r="G25" s="64">
        <f t="shared" si="0"/>
        <v>756</v>
      </c>
      <c r="H25" s="399">
        <f>G25/G30</f>
        <v>2.6580409253920259E-2</v>
      </c>
    </row>
    <row r="26" spans="1:12" ht="24" customHeight="1">
      <c r="A26" s="382">
        <v>20</v>
      </c>
      <c r="B26" s="383" t="s">
        <v>86</v>
      </c>
      <c r="C26" s="68">
        <v>0</v>
      </c>
      <c r="D26" s="48">
        <v>0</v>
      </c>
      <c r="E26" s="49">
        <v>0</v>
      </c>
      <c r="F26" s="49">
        <v>42</v>
      </c>
      <c r="G26" s="411">
        <f t="shared" si="0"/>
        <v>42</v>
      </c>
      <c r="H26" s="399">
        <f>G26/G30</f>
        <v>1.4766894029955699E-3</v>
      </c>
    </row>
    <row r="27" spans="1:12" ht="16.5" customHeight="1">
      <c r="A27" s="378">
        <v>21</v>
      </c>
      <c r="B27" s="383" t="s">
        <v>87</v>
      </c>
      <c r="C27" s="68">
        <v>0</v>
      </c>
      <c r="D27" s="48">
        <v>0</v>
      </c>
      <c r="E27" s="49">
        <v>0</v>
      </c>
      <c r="F27" s="49">
        <v>23</v>
      </c>
      <c r="G27" s="64">
        <f t="shared" si="0"/>
        <v>23</v>
      </c>
      <c r="H27" s="399">
        <f>G27/G30</f>
        <v>8.0866324449757403E-4</v>
      </c>
    </row>
    <row r="28" spans="1:12" ht="14.25" customHeight="1">
      <c r="A28" s="378">
        <v>22</v>
      </c>
      <c r="B28" s="378" t="s">
        <v>88</v>
      </c>
      <c r="C28" s="68">
        <v>0</v>
      </c>
      <c r="D28" s="48">
        <v>4</v>
      </c>
      <c r="E28" s="49">
        <v>8</v>
      </c>
      <c r="F28" s="49">
        <v>1715</v>
      </c>
      <c r="G28" s="64">
        <f t="shared" si="0"/>
        <v>1727</v>
      </c>
      <c r="H28" s="399">
        <f>G28/G30</f>
        <v>6.0720061880317838E-2</v>
      </c>
    </row>
    <row r="29" spans="1:12" ht="15" customHeight="1" thickBot="1">
      <c r="A29" s="384">
        <v>23</v>
      </c>
      <c r="B29" s="384" t="s">
        <v>89</v>
      </c>
      <c r="C29" s="68">
        <v>0</v>
      </c>
      <c r="D29" s="68">
        <v>0</v>
      </c>
      <c r="E29" s="68">
        <v>0</v>
      </c>
      <c r="F29" s="331">
        <v>5</v>
      </c>
      <c r="G29" s="411">
        <f t="shared" si="0"/>
        <v>5</v>
      </c>
      <c r="H29" s="417">
        <f>G29/G30</f>
        <v>1.7579635749947261E-4</v>
      </c>
    </row>
    <row r="30" spans="1:12" ht="24" customHeight="1" thickBot="1">
      <c r="A30" s="413"/>
      <c r="B30" s="402" t="s">
        <v>6</v>
      </c>
      <c r="C30" s="389">
        <f t="shared" ref="C30:H30" si="1">SUM(C7:C29)</f>
        <v>16</v>
      </c>
      <c r="D30" s="353">
        <f t="shared" si="1"/>
        <v>28</v>
      </c>
      <c r="E30" s="353">
        <f t="shared" si="1"/>
        <v>3201</v>
      </c>
      <c r="F30" s="353">
        <f t="shared" si="1"/>
        <v>25197</v>
      </c>
      <c r="G30" s="414">
        <f t="shared" si="1"/>
        <v>28442</v>
      </c>
      <c r="H30" s="418">
        <f t="shared" si="1"/>
        <v>1.0000000000000002</v>
      </c>
    </row>
    <row r="31" spans="1:12">
      <c r="A31" s="356"/>
      <c r="B31" s="357"/>
      <c r="C31" s="358"/>
      <c r="D31" s="358"/>
      <c r="E31" s="358"/>
      <c r="F31" s="358"/>
      <c r="G31" s="358"/>
    </row>
    <row r="32" spans="1:12">
      <c r="A32" s="28" t="s">
        <v>143</v>
      </c>
      <c r="G32" s="57" t="s">
        <v>12</v>
      </c>
      <c r="L32" s="342"/>
    </row>
    <row r="33" spans="1:7">
      <c r="A33" s="550">
        <v>44165</v>
      </c>
      <c r="B33" s="550"/>
      <c r="G33" s="57" t="s">
        <v>90</v>
      </c>
    </row>
  </sheetData>
  <mergeCells count="8">
    <mergeCell ref="H5:H6"/>
    <mergeCell ref="C4:H4"/>
    <mergeCell ref="A33:B33"/>
    <mergeCell ref="A2:G2"/>
    <mergeCell ref="A3:C3"/>
    <mergeCell ref="C5:D5"/>
    <mergeCell ref="E5:F5"/>
    <mergeCell ref="G5:G6"/>
  </mergeCells>
  <pageMargins left="0.70866141732283472" right="0.70866141732283472" top="0.35433070866141736" bottom="0.15748031496062992" header="0.31496062992125984" footer="0.31496062992125984"/>
  <pageSetup paperSize="9" scale="9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4"/>
  <sheetViews>
    <sheetView zoomScale="55" zoomScaleNormal="55" workbookViewId="0">
      <selection activeCell="F11" sqref="F11"/>
    </sheetView>
  </sheetViews>
  <sheetFormatPr defaultRowHeight="12"/>
  <cols>
    <col min="1" max="1" width="5.42578125" style="28" customWidth="1"/>
    <col min="2" max="2" width="53.28515625" style="28" customWidth="1"/>
    <col min="3" max="3" width="13.42578125" style="28" customWidth="1"/>
    <col min="4" max="4" width="13.7109375" style="28" customWidth="1"/>
    <col min="5" max="7" width="12.7109375" style="28" customWidth="1"/>
    <col min="8" max="8" width="11.140625" style="28" customWidth="1"/>
    <col min="9" max="16384" width="9.140625" style="28"/>
  </cols>
  <sheetData>
    <row r="1" spans="1:8">
      <c r="A1" s="332" t="s">
        <v>110</v>
      </c>
      <c r="B1" s="404"/>
    </row>
    <row r="2" spans="1:8" ht="30.75" customHeight="1">
      <c r="A2" s="573" t="s">
        <v>139</v>
      </c>
      <c r="B2" s="573"/>
      <c r="C2" s="573"/>
      <c r="D2" s="573"/>
      <c r="E2" s="573"/>
      <c r="F2" s="573"/>
      <c r="G2" s="573"/>
    </row>
    <row r="3" spans="1:8" ht="11.25" customHeight="1" thickBot="1">
      <c r="A3" s="540"/>
      <c r="B3" s="540"/>
      <c r="C3" s="540"/>
    </row>
    <row r="4" spans="1:8" ht="14.25" customHeight="1">
      <c r="A4" s="367"/>
      <c r="B4" s="368"/>
      <c r="C4" s="553" t="s">
        <v>59</v>
      </c>
      <c r="D4" s="544"/>
      <c r="E4" s="544"/>
      <c r="F4" s="544"/>
      <c r="G4" s="544"/>
      <c r="H4" s="545"/>
    </row>
    <row r="5" spans="1:8" ht="13.5" customHeight="1">
      <c r="A5" s="369" t="s">
        <v>60</v>
      </c>
      <c r="B5" s="370" t="s">
        <v>61</v>
      </c>
      <c r="C5" s="554" t="s">
        <v>62</v>
      </c>
      <c r="D5" s="548"/>
      <c r="E5" s="548" t="s">
        <v>63</v>
      </c>
      <c r="F5" s="548"/>
      <c r="G5" s="548" t="s">
        <v>6</v>
      </c>
      <c r="H5" s="571" t="s">
        <v>112</v>
      </c>
    </row>
    <row r="6" spans="1:8" ht="24" customHeight="1" thickBot="1">
      <c r="A6" s="371"/>
      <c r="B6" s="371"/>
      <c r="C6" s="372" t="s">
        <v>64</v>
      </c>
      <c r="D6" s="323" t="s">
        <v>65</v>
      </c>
      <c r="E6" s="323" t="s">
        <v>65</v>
      </c>
      <c r="F6" s="323" t="s">
        <v>66</v>
      </c>
      <c r="G6" s="570"/>
      <c r="H6" s="572"/>
    </row>
    <row r="7" spans="1:8" ht="14.25" customHeight="1">
      <c r="A7" s="373">
        <v>1</v>
      </c>
      <c r="B7" s="374" t="s">
        <v>67</v>
      </c>
      <c r="C7" s="375">
        <v>0</v>
      </c>
      <c r="D7" s="108">
        <v>0</v>
      </c>
      <c r="E7" s="50">
        <v>1</v>
      </c>
      <c r="F7" s="50">
        <v>181</v>
      </c>
      <c r="G7" s="108">
        <f>SUM(C7+D7+E7+F7)</f>
        <v>182</v>
      </c>
      <c r="H7" s="398">
        <f>G7/G30</f>
        <v>6.719586486985416E-3</v>
      </c>
    </row>
    <row r="8" spans="1:8" ht="14.25" customHeight="1">
      <c r="A8" s="378">
        <v>2</v>
      </c>
      <c r="B8" s="379" t="s">
        <v>68</v>
      </c>
      <c r="C8" s="380">
        <v>0</v>
      </c>
      <c r="D8" s="48">
        <v>0</v>
      </c>
      <c r="E8" s="49">
        <v>0</v>
      </c>
      <c r="F8" s="49">
        <v>32</v>
      </c>
      <c r="G8" s="48">
        <f>SUM(C8+D8+E8+F8)</f>
        <v>32</v>
      </c>
      <c r="H8" s="399">
        <f>G8/G30</f>
        <v>1.1814657559534798E-3</v>
      </c>
    </row>
    <row r="9" spans="1:8" ht="12.75" customHeight="1">
      <c r="A9" s="378">
        <v>3</v>
      </c>
      <c r="B9" s="379" t="s">
        <v>69</v>
      </c>
      <c r="C9" s="380">
        <v>14</v>
      </c>
      <c r="D9" s="48">
        <v>0</v>
      </c>
      <c r="E9" s="49">
        <v>1</v>
      </c>
      <c r="F9" s="49">
        <v>1587</v>
      </c>
      <c r="G9" s="48">
        <f t="shared" ref="G9:G29" si="0">SUM(C9+D9+E9+F9)</f>
        <v>1602</v>
      </c>
      <c r="H9" s="399">
        <f>G9/G30</f>
        <v>5.9147129407421083E-2</v>
      </c>
    </row>
    <row r="10" spans="1:8" ht="15" customHeight="1">
      <c r="A10" s="378">
        <v>4</v>
      </c>
      <c r="B10" s="379" t="s">
        <v>70</v>
      </c>
      <c r="C10" s="68">
        <v>0</v>
      </c>
      <c r="D10" s="53">
        <v>0</v>
      </c>
      <c r="E10" s="54">
        <v>0</v>
      </c>
      <c r="F10" s="49">
        <v>10</v>
      </c>
      <c r="G10" s="48">
        <f t="shared" si="0"/>
        <v>10</v>
      </c>
      <c r="H10" s="399">
        <f>G10/G30</f>
        <v>3.6920804873546244E-4</v>
      </c>
    </row>
    <row r="11" spans="1:8" ht="24" customHeight="1">
      <c r="A11" s="378">
        <v>5</v>
      </c>
      <c r="B11" s="379" t="s">
        <v>71</v>
      </c>
      <c r="C11" s="68">
        <v>0</v>
      </c>
      <c r="D11" s="48">
        <v>0</v>
      </c>
      <c r="E11" s="49">
        <v>0</v>
      </c>
      <c r="F11" s="49">
        <v>71</v>
      </c>
      <c r="G11" s="48">
        <f t="shared" si="0"/>
        <v>71</v>
      </c>
      <c r="H11" s="399">
        <f>G11/G30</f>
        <v>2.6213771460217835E-3</v>
      </c>
    </row>
    <row r="12" spans="1:8" ht="12.75" customHeight="1">
      <c r="A12" s="378">
        <v>6</v>
      </c>
      <c r="B12" s="379" t="s">
        <v>72</v>
      </c>
      <c r="C12" s="68">
        <v>0</v>
      </c>
      <c r="D12" s="48">
        <v>0</v>
      </c>
      <c r="E12" s="49">
        <v>3</v>
      </c>
      <c r="F12" s="49">
        <v>1352</v>
      </c>
      <c r="G12" s="48">
        <f t="shared" si="0"/>
        <v>1355</v>
      </c>
      <c r="H12" s="399">
        <f>G12/G30</f>
        <v>5.002769060365516E-2</v>
      </c>
    </row>
    <row r="13" spans="1:8" ht="24" customHeight="1">
      <c r="A13" s="378">
        <v>7</v>
      </c>
      <c r="B13" s="379" t="s">
        <v>73</v>
      </c>
      <c r="C13" s="68">
        <v>0</v>
      </c>
      <c r="D13" s="48">
        <v>1</v>
      </c>
      <c r="E13" s="49">
        <v>26</v>
      </c>
      <c r="F13" s="49">
        <v>4941</v>
      </c>
      <c r="G13" s="48">
        <f t="shared" si="0"/>
        <v>4968</v>
      </c>
      <c r="H13" s="399">
        <f>G13/G30</f>
        <v>0.18342255861177773</v>
      </c>
    </row>
    <row r="14" spans="1:8" ht="14.25" customHeight="1">
      <c r="A14" s="378">
        <v>8</v>
      </c>
      <c r="B14" s="379" t="s">
        <v>74</v>
      </c>
      <c r="C14" s="68">
        <v>0</v>
      </c>
      <c r="D14" s="48">
        <v>0</v>
      </c>
      <c r="E14" s="48">
        <v>15</v>
      </c>
      <c r="F14" s="49">
        <v>1207</v>
      </c>
      <c r="G14" s="48">
        <f t="shared" si="0"/>
        <v>1222</v>
      </c>
      <c r="H14" s="399">
        <f>G14/G30</f>
        <v>4.5117223555473512E-2</v>
      </c>
    </row>
    <row r="15" spans="1:8" ht="24" customHeight="1">
      <c r="A15" s="378">
        <v>9</v>
      </c>
      <c r="B15" s="379" t="s">
        <v>75</v>
      </c>
      <c r="C15" s="68">
        <v>0</v>
      </c>
      <c r="D15" s="48">
        <v>18</v>
      </c>
      <c r="E15" s="48">
        <v>2919</v>
      </c>
      <c r="F15" s="49">
        <v>3736</v>
      </c>
      <c r="G15" s="48">
        <f t="shared" si="0"/>
        <v>6673</v>
      </c>
      <c r="H15" s="399">
        <f>G15/G30</f>
        <v>0.24637253092117409</v>
      </c>
    </row>
    <row r="16" spans="1:8" ht="15" customHeight="1">
      <c r="A16" s="378">
        <v>10</v>
      </c>
      <c r="B16" s="379" t="s">
        <v>76</v>
      </c>
      <c r="C16" s="68">
        <v>0</v>
      </c>
      <c r="D16" s="48">
        <v>0</v>
      </c>
      <c r="E16" s="49">
        <v>2</v>
      </c>
      <c r="F16" s="49">
        <v>657</v>
      </c>
      <c r="G16" s="48">
        <f t="shared" si="0"/>
        <v>659</v>
      </c>
      <c r="H16" s="399">
        <f>G16/G30</f>
        <v>2.4330810411666973E-2</v>
      </c>
    </row>
    <row r="17" spans="1:8" ht="15" customHeight="1">
      <c r="A17" s="378">
        <v>11</v>
      </c>
      <c r="B17" s="379" t="s">
        <v>77</v>
      </c>
      <c r="C17" s="68">
        <v>0</v>
      </c>
      <c r="D17" s="48">
        <v>0</v>
      </c>
      <c r="E17" s="49">
        <v>0</v>
      </c>
      <c r="F17" s="49">
        <v>1163</v>
      </c>
      <c r="G17" s="48">
        <f t="shared" si="0"/>
        <v>1163</v>
      </c>
      <c r="H17" s="399">
        <f>G17/G30</f>
        <v>4.293889606793428E-2</v>
      </c>
    </row>
    <row r="18" spans="1:8" ht="15" customHeight="1">
      <c r="A18" s="378">
        <v>12</v>
      </c>
      <c r="B18" s="379" t="s">
        <v>78</v>
      </c>
      <c r="C18" s="68">
        <v>0</v>
      </c>
      <c r="D18" s="48">
        <v>0</v>
      </c>
      <c r="E18" s="49">
        <v>6</v>
      </c>
      <c r="F18" s="49">
        <v>226</v>
      </c>
      <c r="G18" s="48">
        <f t="shared" si="0"/>
        <v>232</v>
      </c>
      <c r="H18" s="399">
        <f>G18/G30</f>
        <v>8.565626730662728E-3</v>
      </c>
    </row>
    <row r="19" spans="1:8" ht="15" customHeight="1">
      <c r="A19" s="378">
        <v>13</v>
      </c>
      <c r="B19" s="379" t="s">
        <v>79</v>
      </c>
      <c r="C19" s="68">
        <v>0</v>
      </c>
      <c r="D19" s="48">
        <v>0</v>
      </c>
      <c r="E19" s="49">
        <v>2</v>
      </c>
      <c r="F19" s="49">
        <v>1440</v>
      </c>
      <c r="G19" s="48">
        <f t="shared" si="0"/>
        <v>1442</v>
      </c>
      <c r="H19" s="399">
        <f>G19/G30</f>
        <v>5.3239800627653683E-2</v>
      </c>
    </row>
    <row r="20" spans="1:8" ht="14.25" customHeight="1">
      <c r="A20" s="378">
        <v>14</v>
      </c>
      <c r="B20" s="379" t="s">
        <v>80</v>
      </c>
      <c r="C20" s="68">
        <v>0</v>
      </c>
      <c r="D20" s="48">
        <v>0</v>
      </c>
      <c r="E20" s="49">
        <v>20</v>
      </c>
      <c r="F20" s="49">
        <v>1106</v>
      </c>
      <c r="G20" s="48">
        <f t="shared" si="0"/>
        <v>1126</v>
      </c>
      <c r="H20" s="399">
        <f>G20/G30</f>
        <v>4.1572826287613072E-2</v>
      </c>
    </row>
    <row r="21" spans="1:8" ht="13.5" customHeight="1">
      <c r="A21" s="382">
        <v>15</v>
      </c>
      <c r="B21" s="379" t="s">
        <v>81</v>
      </c>
      <c r="C21" s="68">
        <v>0</v>
      </c>
      <c r="D21" s="48">
        <v>0</v>
      </c>
      <c r="E21" s="49">
        <v>1</v>
      </c>
      <c r="F21" s="49">
        <v>1042</v>
      </c>
      <c r="G21" s="48">
        <f t="shared" si="0"/>
        <v>1043</v>
      </c>
      <c r="H21" s="399">
        <f>G21/G30</f>
        <v>3.8508399483108732E-2</v>
      </c>
    </row>
    <row r="22" spans="1:8" ht="15" customHeight="1">
      <c r="A22" s="378">
        <v>16</v>
      </c>
      <c r="B22" s="379" t="s">
        <v>82</v>
      </c>
      <c r="C22" s="68">
        <v>0</v>
      </c>
      <c r="D22" s="48">
        <v>0</v>
      </c>
      <c r="E22" s="49">
        <v>0</v>
      </c>
      <c r="F22" s="49">
        <v>1593</v>
      </c>
      <c r="G22" s="48">
        <f t="shared" si="0"/>
        <v>1593</v>
      </c>
      <c r="H22" s="399">
        <f>G22/G30</f>
        <v>5.8814842163559165E-2</v>
      </c>
    </row>
    <row r="23" spans="1:8" ht="24" customHeight="1">
      <c r="A23" s="382">
        <v>17</v>
      </c>
      <c r="B23" s="379" t="s">
        <v>83</v>
      </c>
      <c r="C23" s="68">
        <v>0</v>
      </c>
      <c r="D23" s="48">
        <v>1</v>
      </c>
      <c r="E23" s="49">
        <v>3</v>
      </c>
      <c r="F23" s="49">
        <v>565</v>
      </c>
      <c r="G23" s="48">
        <f t="shared" si="0"/>
        <v>569</v>
      </c>
      <c r="H23" s="399">
        <f>G23/G30</f>
        <v>2.1007937973047813E-2</v>
      </c>
    </row>
    <row r="24" spans="1:8" ht="17.25" customHeight="1">
      <c r="A24" s="378">
        <v>18</v>
      </c>
      <c r="B24" s="383" t="s">
        <v>84</v>
      </c>
      <c r="C24" s="68">
        <v>0</v>
      </c>
      <c r="D24" s="48">
        <v>0</v>
      </c>
      <c r="E24" s="49">
        <v>8</v>
      </c>
      <c r="F24" s="49">
        <v>568</v>
      </c>
      <c r="G24" s="48">
        <f t="shared" si="0"/>
        <v>576</v>
      </c>
      <c r="H24" s="399">
        <f>G24/G30</f>
        <v>2.1266383607162636E-2</v>
      </c>
    </row>
    <row r="25" spans="1:8" ht="15.75" customHeight="1">
      <c r="A25" s="378">
        <v>19</v>
      </c>
      <c r="B25" s="383" t="s">
        <v>85</v>
      </c>
      <c r="C25" s="68">
        <v>0</v>
      </c>
      <c r="D25" s="48">
        <v>0</v>
      </c>
      <c r="E25" s="49">
        <v>10</v>
      </c>
      <c r="F25" s="49">
        <v>660</v>
      </c>
      <c r="G25" s="48">
        <f t="shared" si="0"/>
        <v>670</v>
      </c>
      <c r="H25" s="399">
        <f>G25/G30</f>
        <v>2.4736939265275985E-2</v>
      </c>
    </row>
    <row r="26" spans="1:8" ht="24" customHeight="1">
      <c r="A26" s="382">
        <v>20</v>
      </c>
      <c r="B26" s="383" t="s">
        <v>86</v>
      </c>
      <c r="C26" s="68">
        <v>0</v>
      </c>
      <c r="D26" s="48">
        <v>0</v>
      </c>
      <c r="E26" s="49">
        <v>0</v>
      </c>
      <c r="F26" s="49">
        <v>41</v>
      </c>
      <c r="G26" s="56">
        <f t="shared" si="0"/>
        <v>41</v>
      </c>
      <c r="H26" s="399">
        <f>G26/G30</f>
        <v>1.513752999815396E-3</v>
      </c>
    </row>
    <row r="27" spans="1:8" ht="16.5" customHeight="1">
      <c r="A27" s="378">
        <v>21</v>
      </c>
      <c r="B27" s="383" t="s">
        <v>87</v>
      </c>
      <c r="C27" s="68">
        <v>0</v>
      </c>
      <c r="D27" s="48">
        <v>0</v>
      </c>
      <c r="E27" s="49">
        <v>0</v>
      </c>
      <c r="F27" s="49">
        <v>22</v>
      </c>
      <c r="G27" s="48">
        <f t="shared" si="0"/>
        <v>22</v>
      </c>
      <c r="H27" s="399">
        <f>G27/G30</f>
        <v>8.1225770721801737E-4</v>
      </c>
    </row>
    <row r="28" spans="1:8" ht="14.25" customHeight="1">
      <c r="A28" s="378">
        <v>22</v>
      </c>
      <c r="B28" s="378" t="s">
        <v>88</v>
      </c>
      <c r="C28" s="68">
        <v>0</v>
      </c>
      <c r="D28" s="48">
        <v>3</v>
      </c>
      <c r="E28" s="49">
        <v>7</v>
      </c>
      <c r="F28" s="49">
        <v>1824</v>
      </c>
      <c r="G28" s="48">
        <f t="shared" si="0"/>
        <v>1834</v>
      </c>
      <c r="H28" s="399">
        <f>G28/G30</f>
        <v>6.7712756138083807E-2</v>
      </c>
    </row>
    <row r="29" spans="1:8" ht="15" customHeight="1" thickBot="1">
      <c r="A29" s="401">
        <v>23</v>
      </c>
      <c r="B29" s="401" t="s">
        <v>89</v>
      </c>
      <c r="C29" s="326">
        <v>0</v>
      </c>
      <c r="D29" s="421">
        <v>0</v>
      </c>
      <c r="E29" s="422">
        <v>0</v>
      </c>
      <c r="F29" s="422">
        <v>0</v>
      </c>
      <c r="G29" s="421">
        <f t="shared" si="0"/>
        <v>0</v>
      </c>
      <c r="H29" s="417">
        <f>G29/G30</f>
        <v>0</v>
      </c>
    </row>
    <row r="30" spans="1:8" ht="24" customHeight="1" thickBot="1">
      <c r="A30" s="574" t="s">
        <v>6</v>
      </c>
      <c r="B30" s="574"/>
      <c r="C30" s="352">
        <f t="shared" ref="C30:H30" si="1">SUM(C7:C29)</f>
        <v>14</v>
      </c>
      <c r="D30" s="423">
        <f t="shared" si="1"/>
        <v>23</v>
      </c>
      <c r="E30" s="424">
        <f t="shared" si="1"/>
        <v>3024</v>
      </c>
      <c r="F30" s="424">
        <f>SUM(F7:F29)</f>
        <v>24024</v>
      </c>
      <c r="G30" s="425">
        <f t="shared" si="1"/>
        <v>27085</v>
      </c>
      <c r="H30" s="418">
        <f t="shared" si="1"/>
        <v>0.99999999999999989</v>
      </c>
    </row>
    <row r="31" spans="1:8">
      <c r="A31" s="356"/>
      <c r="B31" s="357"/>
      <c r="C31" s="358"/>
      <c r="D31" s="358"/>
      <c r="E31" s="358"/>
      <c r="F31" s="358"/>
      <c r="G31" s="358"/>
    </row>
    <row r="32" spans="1:8">
      <c r="G32" s="57" t="s">
        <v>12</v>
      </c>
    </row>
    <row r="33" spans="1:7">
      <c r="A33" s="546">
        <v>43834</v>
      </c>
      <c r="B33" s="546"/>
      <c r="G33" s="57" t="s">
        <v>90</v>
      </c>
    </row>
    <row r="34" spans="1:7">
      <c r="B34" s="37"/>
    </row>
  </sheetData>
  <mergeCells count="9">
    <mergeCell ref="H5:H6"/>
    <mergeCell ref="C4:H4"/>
    <mergeCell ref="A33:B33"/>
    <mergeCell ref="A30:B30"/>
    <mergeCell ref="A2:G2"/>
    <mergeCell ref="A3:C3"/>
    <mergeCell ref="C5:D5"/>
    <mergeCell ref="E5:F5"/>
    <mergeCell ref="G5:G6"/>
  </mergeCells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4"/>
  <sheetViews>
    <sheetView zoomScale="55" zoomScaleNormal="55" workbookViewId="0">
      <selection activeCell="F13" sqref="F13"/>
    </sheetView>
  </sheetViews>
  <sheetFormatPr defaultRowHeight="12"/>
  <cols>
    <col min="1" max="1" width="5.42578125" style="171" customWidth="1"/>
    <col min="2" max="2" width="53.42578125" style="171" customWidth="1"/>
    <col min="3" max="3" width="13.7109375" style="171" customWidth="1"/>
    <col min="4" max="4" width="13.42578125" style="171" customWidth="1"/>
    <col min="5" max="7" width="12.7109375" style="171" customWidth="1"/>
    <col min="8" max="8" width="12.28515625" style="171" customWidth="1"/>
    <col min="9" max="10" width="9.140625" style="171"/>
    <col min="11" max="13" width="11.5703125" style="171" bestFit="1" customWidth="1"/>
    <col min="14" max="16384" width="9.140625" style="171"/>
  </cols>
  <sheetData>
    <row r="1" spans="1:11">
      <c r="A1" s="332" t="s">
        <v>111</v>
      </c>
      <c r="B1" s="393"/>
    </row>
    <row r="2" spans="1:11" ht="30.75" customHeight="1">
      <c r="A2" s="582" t="s">
        <v>140</v>
      </c>
      <c r="B2" s="582"/>
      <c r="C2" s="582"/>
      <c r="D2" s="582"/>
      <c r="E2" s="582"/>
      <c r="F2" s="582"/>
      <c r="G2" s="582"/>
    </row>
    <row r="3" spans="1:11" ht="11.25" customHeight="1" thickBot="1">
      <c r="A3" s="583"/>
      <c r="B3" s="583"/>
      <c r="C3" s="583"/>
    </row>
    <row r="4" spans="1:11" ht="14.25" customHeight="1">
      <c r="A4" s="426"/>
      <c r="B4" s="427"/>
      <c r="C4" s="577" t="s">
        <v>59</v>
      </c>
      <c r="D4" s="578"/>
      <c r="E4" s="578"/>
      <c r="F4" s="578"/>
      <c r="G4" s="578"/>
      <c r="H4" s="579"/>
    </row>
    <row r="5" spans="1:11" ht="13.5" customHeight="1">
      <c r="A5" s="428" t="s">
        <v>60</v>
      </c>
      <c r="B5" s="429" t="s">
        <v>61</v>
      </c>
      <c r="C5" s="584" t="s">
        <v>62</v>
      </c>
      <c r="D5" s="585"/>
      <c r="E5" s="585" t="s">
        <v>63</v>
      </c>
      <c r="F5" s="585"/>
      <c r="G5" s="585" t="s">
        <v>6</v>
      </c>
      <c r="H5" s="575" t="s">
        <v>112</v>
      </c>
    </row>
    <row r="6" spans="1:11" ht="24" customHeight="1" thickBot="1">
      <c r="A6" s="430"/>
      <c r="B6" s="431"/>
      <c r="C6" s="432" t="s">
        <v>64</v>
      </c>
      <c r="D6" s="325" t="s">
        <v>65</v>
      </c>
      <c r="E6" s="325" t="s">
        <v>65</v>
      </c>
      <c r="F6" s="325" t="s">
        <v>66</v>
      </c>
      <c r="G6" s="586"/>
      <c r="H6" s="576"/>
    </row>
    <row r="7" spans="1:11" ht="14.25" customHeight="1">
      <c r="A7" s="433">
        <v>1</v>
      </c>
      <c r="B7" s="434" t="s">
        <v>67</v>
      </c>
      <c r="C7" s="435">
        <v>0</v>
      </c>
      <c r="D7" s="436">
        <v>0</v>
      </c>
      <c r="E7" s="437">
        <v>1</v>
      </c>
      <c r="F7" s="437">
        <v>175</v>
      </c>
      <c r="G7" s="438">
        <f t="shared" ref="G7:G29" si="0">SUM(C7:F7)</f>
        <v>176</v>
      </c>
      <c r="H7" s="439">
        <f>G7/G30</f>
        <v>6.4703503547663688E-3</v>
      </c>
    </row>
    <row r="8" spans="1:11" ht="14.25" customHeight="1">
      <c r="A8" s="408">
        <v>2</v>
      </c>
      <c r="B8" s="383" t="s">
        <v>68</v>
      </c>
      <c r="C8" s="435">
        <v>0</v>
      </c>
      <c r="D8" s="286">
        <v>0</v>
      </c>
      <c r="E8" s="158">
        <v>0</v>
      </c>
      <c r="F8" s="158">
        <v>36</v>
      </c>
      <c r="G8" s="438">
        <f t="shared" si="0"/>
        <v>36</v>
      </c>
      <c r="H8" s="420">
        <f>G8/G30</f>
        <v>1.32348075438403E-3</v>
      </c>
      <c r="K8" s="440"/>
    </row>
    <row r="9" spans="1:11" ht="12.75" customHeight="1">
      <c r="A9" s="408">
        <v>3</v>
      </c>
      <c r="B9" s="383" t="s">
        <v>69</v>
      </c>
      <c r="C9" s="435">
        <v>12</v>
      </c>
      <c r="D9" s="286">
        <v>0</v>
      </c>
      <c r="E9" s="158">
        <v>1</v>
      </c>
      <c r="F9" s="158">
        <v>1639</v>
      </c>
      <c r="G9" s="287">
        <f t="shared" si="0"/>
        <v>1652</v>
      </c>
      <c r="H9" s="420">
        <f>G9/G30</f>
        <v>6.07330612845116E-2</v>
      </c>
      <c r="K9" s="440"/>
    </row>
    <row r="10" spans="1:11" ht="15" customHeight="1">
      <c r="A10" s="408">
        <v>4</v>
      </c>
      <c r="B10" s="383" t="s">
        <v>70</v>
      </c>
      <c r="C10" s="435">
        <v>0</v>
      </c>
      <c r="D10" s="289">
        <v>0</v>
      </c>
      <c r="E10" s="290">
        <v>0</v>
      </c>
      <c r="F10" s="158">
        <v>10</v>
      </c>
      <c r="G10" s="287">
        <f t="shared" si="0"/>
        <v>10</v>
      </c>
      <c r="H10" s="420">
        <f>G10/G30</f>
        <v>3.676335428844528E-4</v>
      </c>
    </row>
    <row r="11" spans="1:11" ht="24" customHeight="1">
      <c r="A11" s="408">
        <v>5</v>
      </c>
      <c r="B11" s="383" t="s">
        <v>71</v>
      </c>
      <c r="C11" s="435">
        <v>0</v>
      </c>
      <c r="D11" s="286">
        <v>0</v>
      </c>
      <c r="E11" s="158">
        <v>0</v>
      </c>
      <c r="F11" s="158">
        <v>77</v>
      </c>
      <c r="G11" s="287">
        <f t="shared" si="0"/>
        <v>77</v>
      </c>
      <c r="H11" s="420">
        <f>G11/G30</f>
        <v>2.8307782802102863E-3</v>
      </c>
    </row>
    <row r="12" spans="1:11" ht="12.75" customHeight="1">
      <c r="A12" s="408">
        <v>6</v>
      </c>
      <c r="B12" s="383" t="s">
        <v>72</v>
      </c>
      <c r="C12" s="435">
        <v>0</v>
      </c>
      <c r="D12" s="286">
        <v>0</v>
      </c>
      <c r="E12" s="158">
        <v>6</v>
      </c>
      <c r="F12" s="158">
        <v>1495</v>
      </c>
      <c r="G12" s="287">
        <f t="shared" si="0"/>
        <v>1501</v>
      </c>
      <c r="H12" s="420">
        <f>G12/G30</f>
        <v>5.518179478695636E-2</v>
      </c>
    </row>
    <row r="13" spans="1:11" ht="24" customHeight="1">
      <c r="A13" s="408">
        <v>7</v>
      </c>
      <c r="B13" s="383" t="s">
        <v>73</v>
      </c>
      <c r="C13" s="435">
        <v>0</v>
      </c>
      <c r="D13" s="286">
        <v>5</v>
      </c>
      <c r="E13" s="158">
        <v>24</v>
      </c>
      <c r="F13" s="158">
        <v>4938</v>
      </c>
      <c r="G13" s="287">
        <f t="shared" si="0"/>
        <v>4967</v>
      </c>
      <c r="H13" s="420">
        <f>G13/G30</f>
        <v>0.18260358075070771</v>
      </c>
    </row>
    <row r="14" spans="1:11" ht="14.25" customHeight="1">
      <c r="A14" s="408">
        <v>8</v>
      </c>
      <c r="B14" s="383" t="s">
        <v>74</v>
      </c>
      <c r="C14" s="435">
        <v>0</v>
      </c>
      <c r="D14" s="286">
        <v>0</v>
      </c>
      <c r="E14" s="286">
        <v>13</v>
      </c>
      <c r="F14" s="158">
        <v>1257</v>
      </c>
      <c r="G14" s="287">
        <f t="shared" si="0"/>
        <v>1270</v>
      </c>
      <c r="H14" s="420">
        <f>G14/G30</f>
        <v>4.66894599463255E-2</v>
      </c>
    </row>
    <row r="15" spans="1:11" ht="24" customHeight="1">
      <c r="A15" s="408">
        <v>9</v>
      </c>
      <c r="B15" s="383" t="s">
        <v>75</v>
      </c>
      <c r="C15" s="435">
        <v>0</v>
      </c>
      <c r="D15" s="286">
        <v>16</v>
      </c>
      <c r="E15" s="286">
        <v>2790</v>
      </c>
      <c r="F15" s="158">
        <v>4086</v>
      </c>
      <c r="G15" s="287">
        <f t="shared" si="0"/>
        <v>6892</v>
      </c>
      <c r="H15" s="420">
        <f>G15/G30</f>
        <v>0.25337303775596487</v>
      </c>
    </row>
    <row r="16" spans="1:11" ht="15" customHeight="1">
      <c r="A16" s="408">
        <v>10</v>
      </c>
      <c r="B16" s="383" t="s">
        <v>76</v>
      </c>
      <c r="C16" s="435">
        <v>0</v>
      </c>
      <c r="D16" s="286">
        <v>0</v>
      </c>
      <c r="E16" s="158">
        <v>2</v>
      </c>
      <c r="F16" s="158">
        <v>663</v>
      </c>
      <c r="G16" s="287">
        <f t="shared" si="0"/>
        <v>665</v>
      </c>
      <c r="H16" s="420">
        <f>G16/G30</f>
        <v>2.4447630601816109E-2</v>
      </c>
    </row>
    <row r="17" spans="1:13" ht="15" customHeight="1">
      <c r="A17" s="408">
        <v>11</v>
      </c>
      <c r="B17" s="383" t="s">
        <v>77</v>
      </c>
      <c r="C17" s="435">
        <v>0</v>
      </c>
      <c r="D17" s="286">
        <v>0</v>
      </c>
      <c r="E17" s="158">
        <v>0</v>
      </c>
      <c r="F17" s="158">
        <v>1140</v>
      </c>
      <c r="G17" s="287">
        <f t="shared" si="0"/>
        <v>1140</v>
      </c>
      <c r="H17" s="420">
        <f>G17/G30</f>
        <v>4.1910223888827619E-2</v>
      </c>
    </row>
    <row r="18" spans="1:13" ht="15" customHeight="1">
      <c r="A18" s="408">
        <v>12</v>
      </c>
      <c r="B18" s="383" t="s">
        <v>78</v>
      </c>
      <c r="C18" s="435">
        <v>0</v>
      </c>
      <c r="D18" s="286">
        <v>0</v>
      </c>
      <c r="E18" s="158">
        <v>6</v>
      </c>
      <c r="F18" s="158">
        <v>238</v>
      </c>
      <c r="G18" s="287">
        <f t="shared" si="0"/>
        <v>244</v>
      </c>
      <c r="H18" s="420">
        <f>G18/G30</f>
        <v>8.9702584463806478E-3</v>
      </c>
    </row>
    <row r="19" spans="1:13" ht="15" customHeight="1">
      <c r="A19" s="408">
        <v>13</v>
      </c>
      <c r="B19" s="383" t="s">
        <v>79</v>
      </c>
      <c r="C19" s="435">
        <v>0</v>
      </c>
      <c r="D19" s="286">
        <v>0</v>
      </c>
      <c r="E19" s="158">
        <v>2</v>
      </c>
      <c r="F19" s="158">
        <v>1507</v>
      </c>
      <c r="G19" s="287">
        <f t="shared" si="0"/>
        <v>1509</v>
      </c>
      <c r="H19" s="420">
        <f>G19/G30</f>
        <v>5.5475901621263923E-2</v>
      </c>
    </row>
    <row r="20" spans="1:13" ht="14.25" customHeight="1">
      <c r="A20" s="408">
        <v>14</v>
      </c>
      <c r="B20" s="383" t="s">
        <v>80</v>
      </c>
      <c r="C20" s="435">
        <v>0</v>
      </c>
      <c r="D20" s="286">
        <v>0</v>
      </c>
      <c r="E20" s="158">
        <v>20</v>
      </c>
      <c r="F20" s="158">
        <v>1181</v>
      </c>
      <c r="G20" s="287">
        <f t="shared" si="0"/>
        <v>1201</v>
      </c>
      <c r="H20" s="420">
        <f>G20/G30</f>
        <v>4.4152788500422778E-2</v>
      </c>
    </row>
    <row r="21" spans="1:13" ht="13.5" customHeight="1">
      <c r="A21" s="410">
        <v>15</v>
      </c>
      <c r="B21" s="383" t="s">
        <v>81</v>
      </c>
      <c r="C21" s="435">
        <v>0</v>
      </c>
      <c r="D21" s="286">
        <v>0</v>
      </c>
      <c r="E21" s="158">
        <v>1</v>
      </c>
      <c r="F21" s="158">
        <v>815</v>
      </c>
      <c r="G21" s="287">
        <f t="shared" si="0"/>
        <v>816</v>
      </c>
      <c r="H21" s="420">
        <f>G21/G30</f>
        <v>2.9998897099371348E-2</v>
      </c>
      <c r="L21" s="440"/>
    </row>
    <row r="22" spans="1:13" ht="15" customHeight="1">
      <c r="A22" s="408">
        <v>16</v>
      </c>
      <c r="B22" s="383" t="s">
        <v>82</v>
      </c>
      <c r="C22" s="435">
        <v>0</v>
      </c>
      <c r="D22" s="286">
        <v>0</v>
      </c>
      <c r="E22" s="158">
        <v>0</v>
      </c>
      <c r="F22" s="158">
        <v>1186</v>
      </c>
      <c r="G22" s="287">
        <f t="shared" si="0"/>
        <v>1186</v>
      </c>
      <c r="H22" s="420">
        <f>G22/G30</f>
        <v>4.36013381860961E-2</v>
      </c>
    </row>
    <row r="23" spans="1:13" ht="24" customHeight="1">
      <c r="A23" s="410">
        <v>17</v>
      </c>
      <c r="B23" s="383" t="s">
        <v>83</v>
      </c>
      <c r="C23" s="435">
        <v>0</v>
      </c>
      <c r="D23" s="286">
        <v>1</v>
      </c>
      <c r="E23" s="158">
        <v>3</v>
      </c>
      <c r="F23" s="158">
        <v>539</v>
      </c>
      <c r="G23" s="287">
        <f t="shared" si="0"/>
        <v>543</v>
      </c>
      <c r="H23" s="420">
        <f>G23/G30</f>
        <v>1.9962501378625788E-2</v>
      </c>
    </row>
    <row r="24" spans="1:13" ht="17.25" customHeight="1">
      <c r="A24" s="408">
        <v>18</v>
      </c>
      <c r="B24" s="383" t="s">
        <v>84</v>
      </c>
      <c r="C24" s="435">
        <v>0</v>
      </c>
      <c r="D24" s="286">
        <v>0</v>
      </c>
      <c r="E24" s="158">
        <v>7</v>
      </c>
      <c r="F24" s="158">
        <v>564</v>
      </c>
      <c r="G24" s="287">
        <f t="shared" si="0"/>
        <v>571</v>
      </c>
      <c r="H24" s="420">
        <f>G24/G30</f>
        <v>2.0991875298702254E-2</v>
      </c>
    </row>
    <row r="25" spans="1:13" ht="15.75" customHeight="1">
      <c r="A25" s="408">
        <v>19</v>
      </c>
      <c r="B25" s="383" t="s">
        <v>85</v>
      </c>
      <c r="C25" s="435">
        <v>0</v>
      </c>
      <c r="D25" s="286">
        <v>0</v>
      </c>
      <c r="E25" s="158">
        <v>9</v>
      </c>
      <c r="F25" s="158">
        <v>685</v>
      </c>
      <c r="G25" s="287">
        <f t="shared" si="0"/>
        <v>694</v>
      </c>
      <c r="H25" s="420">
        <f>G25/G30</f>
        <v>2.5513767876181023E-2</v>
      </c>
    </row>
    <row r="26" spans="1:13" ht="24" customHeight="1">
      <c r="A26" s="410">
        <v>20</v>
      </c>
      <c r="B26" s="383" t="s">
        <v>86</v>
      </c>
      <c r="C26" s="435">
        <v>0</v>
      </c>
      <c r="D26" s="286">
        <v>0</v>
      </c>
      <c r="E26" s="158">
        <v>0</v>
      </c>
      <c r="F26" s="158">
        <v>38</v>
      </c>
      <c r="G26" s="441">
        <f t="shared" si="0"/>
        <v>38</v>
      </c>
      <c r="H26" s="420">
        <f>G26/G30</f>
        <v>1.3970074629609205E-3</v>
      </c>
    </row>
    <row r="27" spans="1:13" ht="16.5" customHeight="1">
      <c r="A27" s="408">
        <v>21</v>
      </c>
      <c r="B27" s="383" t="s">
        <v>87</v>
      </c>
      <c r="C27" s="435">
        <v>0</v>
      </c>
      <c r="D27" s="286">
        <v>0</v>
      </c>
      <c r="E27" s="158">
        <v>0</v>
      </c>
      <c r="F27" s="158">
        <v>23</v>
      </c>
      <c r="G27" s="287">
        <f t="shared" si="0"/>
        <v>23</v>
      </c>
      <c r="H27" s="420">
        <f>G27/G30</f>
        <v>8.4555714863424134E-4</v>
      </c>
      <c r="K27" s="440"/>
    </row>
    <row r="28" spans="1:13" ht="14.25" customHeight="1">
      <c r="A28" s="408">
        <v>22</v>
      </c>
      <c r="B28" s="408" t="s">
        <v>88</v>
      </c>
      <c r="C28" s="435">
        <v>0</v>
      </c>
      <c r="D28" s="286">
        <v>2</v>
      </c>
      <c r="E28" s="158">
        <v>6</v>
      </c>
      <c r="F28" s="158">
        <v>1982</v>
      </c>
      <c r="G28" s="287">
        <f t="shared" si="0"/>
        <v>1990</v>
      </c>
      <c r="H28" s="420">
        <f>G28/G30</f>
        <v>7.3159075034006107E-2</v>
      </c>
      <c r="J28" s="442"/>
    </row>
    <row r="29" spans="1:13" ht="15" customHeight="1" thickBot="1">
      <c r="A29" s="443">
        <v>23</v>
      </c>
      <c r="B29" s="443" t="s">
        <v>89</v>
      </c>
      <c r="C29" s="444">
        <v>0</v>
      </c>
      <c r="D29" s="445">
        <v>0</v>
      </c>
      <c r="E29" s="446">
        <v>0</v>
      </c>
      <c r="F29" s="446">
        <v>0</v>
      </c>
      <c r="G29" s="447">
        <f t="shared" si="0"/>
        <v>0</v>
      </c>
      <c r="H29" s="448">
        <f>G29/G30</f>
        <v>0</v>
      </c>
      <c r="J29" s="442"/>
      <c r="K29" s="440"/>
      <c r="M29" s="440"/>
    </row>
    <row r="30" spans="1:13" ht="24" customHeight="1" thickBot="1">
      <c r="A30" s="580" t="s">
        <v>6</v>
      </c>
      <c r="B30" s="580"/>
      <c r="C30" s="449">
        <f>SUM(C7:C29)</f>
        <v>12</v>
      </c>
      <c r="D30" s="450">
        <f>SUM(D7:D29)</f>
        <v>24</v>
      </c>
      <c r="E30" s="450">
        <f>SUM(E7:E29)</f>
        <v>2891</v>
      </c>
      <c r="F30" s="450">
        <f>SUM(F7:F29)</f>
        <v>24274</v>
      </c>
      <c r="G30" s="451">
        <f>SUM(G7:G29)</f>
        <v>27201</v>
      </c>
      <c r="H30" s="452">
        <f t="shared" ref="H30" si="1">SUM(H7:H29)</f>
        <v>1</v>
      </c>
      <c r="K30" s="440"/>
      <c r="L30" s="440"/>
    </row>
    <row r="31" spans="1:13">
      <c r="A31" s="320"/>
      <c r="B31" s="453"/>
      <c r="C31" s="359"/>
      <c r="D31" s="359"/>
      <c r="E31" s="359"/>
      <c r="F31" s="359"/>
      <c r="G31" s="359"/>
    </row>
    <row r="32" spans="1:13">
      <c r="G32" s="454" t="s">
        <v>12</v>
      </c>
    </row>
    <row r="33" spans="1:7">
      <c r="A33" s="581">
        <v>44221</v>
      </c>
      <c r="B33" s="581"/>
      <c r="G33" s="454" t="s">
        <v>90</v>
      </c>
    </row>
    <row r="34" spans="1:7">
      <c r="B34" s="455"/>
    </row>
  </sheetData>
  <mergeCells count="9">
    <mergeCell ref="H5:H6"/>
    <mergeCell ref="C4:H4"/>
    <mergeCell ref="A30:B30"/>
    <mergeCell ref="A33:B33"/>
    <mergeCell ref="A2:G2"/>
    <mergeCell ref="A3:C3"/>
    <mergeCell ref="C5:D5"/>
    <mergeCell ref="E5:F5"/>
    <mergeCell ref="G5:G6"/>
  </mergeCells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55" zoomScaleNormal="55" workbookViewId="0">
      <selection activeCell="B10" sqref="B10"/>
    </sheetView>
  </sheetViews>
  <sheetFormatPr defaultRowHeight="12"/>
  <cols>
    <col min="1" max="1" width="5.42578125" style="28" customWidth="1"/>
    <col min="2" max="2" width="52.7109375" style="28" customWidth="1"/>
    <col min="3" max="3" width="13.7109375" style="28" customWidth="1"/>
    <col min="4" max="4" width="14" style="28" customWidth="1"/>
    <col min="5" max="7" width="12.7109375" style="28" customWidth="1"/>
    <col min="8" max="8" width="12.5703125" style="28" customWidth="1"/>
    <col min="9" max="16384" width="9.140625" style="28"/>
  </cols>
  <sheetData>
    <row r="1" spans="1:8">
      <c r="A1" s="332" t="s">
        <v>118</v>
      </c>
      <c r="B1" s="404"/>
    </row>
    <row r="2" spans="1:8" ht="30.75" customHeight="1">
      <c r="A2" s="573" t="s">
        <v>141</v>
      </c>
      <c r="B2" s="573"/>
      <c r="C2" s="573"/>
      <c r="D2" s="573"/>
      <c r="E2" s="573"/>
      <c r="F2" s="573"/>
      <c r="G2" s="573"/>
    </row>
    <row r="3" spans="1:8" ht="11.25" customHeight="1" thickBot="1">
      <c r="A3" s="540"/>
      <c r="B3" s="540"/>
      <c r="C3" s="540"/>
    </row>
    <row r="4" spans="1:8" ht="14.25" customHeight="1">
      <c r="A4" s="367"/>
      <c r="B4" s="368"/>
      <c r="C4" s="558" t="s">
        <v>59</v>
      </c>
      <c r="D4" s="558"/>
      <c r="E4" s="558"/>
      <c r="F4" s="558"/>
      <c r="G4" s="558"/>
      <c r="H4" s="589"/>
    </row>
    <row r="5" spans="1:8" ht="13.5" customHeight="1">
      <c r="A5" s="369" t="s">
        <v>60</v>
      </c>
      <c r="B5" s="370" t="s">
        <v>61</v>
      </c>
      <c r="C5" s="560" t="s">
        <v>62</v>
      </c>
      <c r="D5" s="554"/>
      <c r="E5" s="561" t="s">
        <v>63</v>
      </c>
      <c r="F5" s="554"/>
      <c r="G5" s="587" t="s">
        <v>6</v>
      </c>
      <c r="H5" s="571" t="s">
        <v>112</v>
      </c>
    </row>
    <row r="6" spans="1:8" ht="24" customHeight="1" thickBot="1">
      <c r="A6" s="394"/>
      <c r="B6" s="394"/>
      <c r="C6" s="456" t="s">
        <v>64</v>
      </c>
      <c r="D6" s="457" t="s">
        <v>65</v>
      </c>
      <c r="E6" s="457" t="s">
        <v>65</v>
      </c>
      <c r="F6" s="458" t="s">
        <v>66</v>
      </c>
      <c r="G6" s="588"/>
      <c r="H6" s="572"/>
    </row>
    <row r="7" spans="1:8" ht="14.25" customHeight="1">
      <c r="A7" s="459">
        <v>1</v>
      </c>
      <c r="B7" s="460" t="s">
        <v>67</v>
      </c>
      <c r="C7" s="461">
        <v>0</v>
      </c>
      <c r="D7" s="462">
        <v>0</v>
      </c>
      <c r="E7" s="463">
        <v>1</v>
      </c>
      <c r="F7" s="463">
        <v>156</v>
      </c>
      <c r="G7" s="464">
        <f>SUM(C7+D7+E7+F7)</f>
        <v>157</v>
      </c>
      <c r="H7" s="399">
        <f>G7/G30</f>
        <v>6.0744409192911861E-3</v>
      </c>
    </row>
    <row r="8" spans="1:8" ht="14.25" customHeight="1">
      <c r="A8" s="378">
        <v>2</v>
      </c>
      <c r="B8" s="379" t="s">
        <v>68</v>
      </c>
      <c r="C8" s="380">
        <v>0</v>
      </c>
      <c r="D8" s="48">
        <v>0</v>
      </c>
      <c r="E8" s="49">
        <v>0</v>
      </c>
      <c r="F8" s="49">
        <v>30</v>
      </c>
      <c r="G8" s="64">
        <f>SUM(C8+D8+E8+F8)</f>
        <v>30</v>
      </c>
      <c r="H8" s="399">
        <f>G8/G30</f>
        <v>1.1607211947690164E-3</v>
      </c>
    </row>
    <row r="9" spans="1:8" ht="12.75" customHeight="1">
      <c r="A9" s="378">
        <v>3</v>
      </c>
      <c r="B9" s="379" t="s">
        <v>69</v>
      </c>
      <c r="C9" s="380">
        <v>19</v>
      </c>
      <c r="D9" s="48">
        <v>0</v>
      </c>
      <c r="E9" s="49">
        <v>0</v>
      </c>
      <c r="F9" s="49">
        <v>1570</v>
      </c>
      <c r="G9" s="64">
        <f t="shared" ref="G9:G29" si="0">SUM(C9+D9+E9+F9)</f>
        <v>1589</v>
      </c>
      <c r="H9" s="399">
        <f>G9/G30</f>
        <v>6.147953261626557E-2</v>
      </c>
    </row>
    <row r="10" spans="1:8" ht="15" customHeight="1">
      <c r="A10" s="378">
        <v>4</v>
      </c>
      <c r="B10" s="379" t="s">
        <v>70</v>
      </c>
      <c r="C10" s="68">
        <v>0</v>
      </c>
      <c r="D10" s="53">
        <v>0</v>
      </c>
      <c r="E10" s="54">
        <v>0</v>
      </c>
      <c r="F10" s="49">
        <v>9</v>
      </c>
      <c r="G10" s="64">
        <f t="shared" si="0"/>
        <v>9</v>
      </c>
      <c r="H10" s="399">
        <f>G10/G30</f>
        <v>3.4821635843070492E-4</v>
      </c>
    </row>
    <row r="11" spans="1:8" ht="24" customHeight="1">
      <c r="A11" s="378">
        <v>5</v>
      </c>
      <c r="B11" s="379" t="s">
        <v>71</v>
      </c>
      <c r="C11" s="68">
        <v>0</v>
      </c>
      <c r="D11" s="48">
        <v>0</v>
      </c>
      <c r="E11" s="49">
        <v>0</v>
      </c>
      <c r="F11" s="49">
        <v>71</v>
      </c>
      <c r="G11" s="64">
        <f t="shared" si="0"/>
        <v>71</v>
      </c>
      <c r="H11" s="399">
        <f>G11/G30</f>
        <v>2.7470401609533388E-3</v>
      </c>
    </row>
    <row r="12" spans="1:8" ht="12.75" customHeight="1">
      <c r="A12" s="378">
        <v>6</v>
      </c>
      <c r="B12" s="379" t="s">
        <v>72</v>
      </c>
      <c r="C12" s="68">
        <v>0</v>
      </c>
      <c r="D12" s="48">
        <v>0</v>
      </c>
      <c r="E12" s="49">
        <v>6</v>
      </c>
      <c r="F12" s="49">
        <v>1552</v>
      </c>
      <c r="G12" s="64">
        <f t="shared" si="0"/>
        <v>1558</v>
      </c>
      <c r="H12" s="399">
        <f>G12/G30</f>
        <v>6.0280120715004257E-2</v>
      </c>
    </row>
    <row r="13" spans="1:8" ht="24" customHeight="1">
      <c r="A13" s="378">
        <v>7</v>
      </c>
      <c r="B13" s="379" t="s">
        <v>73</v>
      </c>
      <c r="C13" s="68">
        <v>0</v>
      </c>
      <c r="D13" s="48">
        <v>5</v>
      </c>
      <c r="E13" s="49">
        <v>21</v>
      </c>
      <c r="F13" s="49">
        <v>4669</v>
      </c>
      <c r="G13" s="64">
        <f t="shared" si="0"/>
        <v>4695</v>
      </c>
      <c r="H13" s="399">
        <f>G13/G30</f>
        <v>0.18165286698135108</v>
      </c>
    </row>
    <row r="14" spans="1:8" ht="14.25" customHeight="1">
      <c r="A14" s="378">
        <v>8</v>
      </c>
      <c r="B14" s="379" t="s">
        <v>74</v>
      </c>
      <c r="C14" s="68">
        <v>0</v>
      </c>
      <c r="D14" s="48">
        <v>0</v>
      </c>
      <c r="E14" s="48">
        <v>13</v>
      </c>
      <c r="F14" s="49">
        <v>1179</v>
      </c>
      <c r="G14" s="64">
        <f t="shared" si="0"/>
        <v>1192</v>
      </c>
      <c r="H14" s="399">
        <f>G14/G30</f>
        <v>4.6119322138822257E-2</v>
      </c>
    </row>
    <row r="15" spans="1:8" ht="24">
      <c r="A15" s="378">
        <v>9</v>
      </c>
      <c r="B15" s="379" t="s">
        <v>75</v>
      </c>
      <c r="C15" s="68">
        <v>0</v>
      </c>
      <c r="D15" s="48">
        <v>9</v>
      </c>
      <c r="E15" s="48">
        <v>2335</v>
      </c>
      <c r="F15" s="49">
        <v>3792</v>
      </c>
      <c r="G15" s="64">
        <f t="shared" si="0"/>
        <v>6136</v>
      </c>
      <c r="H15" s="399">
        <f>G15/G30</f>
        <v>0.23740617503675618</v>
      </c>
    </row>
    <row r="16" spans="1:8" ht="15" customHeight="1">
      <c r="A16" s="378">
        <v>10</v>
      </c>
      <c r="B16" s="379" t="s">
        <v>76</v>
      </c>
      <c r="C16" s="68">
        <v>0</v>
      </c>
      <c r="D16" s="48">
        <v>0</v>
      </c>
      <c r="E16" s="49">
        <v>1</v>
      </c>
      <c r="F16" s="49">
        <v>652</v>
      </c>
      <c r="G16" s="64">
        <f t="shared" si="0"/>
        <v>653</v>
      </c>
      <c r="H16" s="399">
        <f>G16/G30</f>
        <v>2.526503133947226E-2</v>
      </c>
    </row>
    <row r="17" spans="1:8" ht="15" customHeight="1">
      <c r="A17" s="378">
        <v>11</v>
      </c>
      <c r="B17" s="379" t="s">
        <v>77</v>
      </c>
      <c r="C17" s="68">
        <v>0</v>
      </c>
      <c r="D17" s="48">
        <v>0</v>
      </c>
      <c r="E17" s="49">
        <v>0</v>
      </c>
      <c r="F17" s="49">
        <v>1139</v>
      </c>
      <c r="G17" s="64">
        <f t="shared" si="0"/>
        <v>1139</v>
      </c>
      <c r="H17" s="399">
        <f>G17/G30</f>
        <v>4.4068714694730324E-2</v>
      </c>
    </row>
    <row r="18" spans="1:8" ht="15" customHeight="1">
      <c r="A18" s="378">
        <v>12</v>
      </c>
      <c r="B18" s="379" t="s">
        <v>78</v>
      </c>
      <c r="C18" s="68">
        <v>0</v>
      </c>
      <c r="D18" s="48">
        <v>0</v>
      </c>
      <c r="E18" s="49">
        <v>5</v>
      </c>
      <c r="F18" s="49">
        <v>232</v>
      </c>
      <c r="G18" s="64">
        <f t="shared" si="0"/>
        <v>237</v>
      </c>
      <c r="H18" s="399">
        <f>G18/G30</f>
        <v>9.1696974386752308E-3</v>
      </c>
    </row>
    <row r="19" spans="1:8" ht="15" customHeight="1">
      <c r="A19" s="378">
        <v>13</v>
      </c>
      <c r="B19" s="379" t="s">
        <v>79</v>
      </c>
      <c r="C19" s="68">
        <v>0</v>
      </c>
      <c r="D19" s="48">
        <v>0</v>
      </c>
      <c r="E19" s="49">
        <v>1</v>
      </c>
      <c r="F19" s="49">
        <v>1442</v>
      </c>
      <c r="G19" s="64">
        <f t="shared" si="0"/>
        <v>1443</v>
      </c>
      <c r="H19" s="399">
        <f>G19/G30</f>
        <v>5.5830689468389691E-2</v>
      </c>
    </row>
    <row r="20" spans="1:8" ht="14.25" customHeight="1">
      <c r="A20" s="378">
        <v>14</v>
      </c>
      <c r="B20" s="379" t="s">
        <v>80</v>
      </c>
      <c r="C20" s="68">
        <v>0</v>
      </c>
      <c r="D20" s="48">
        <v>0</v>
      </c>
      <c r="E20" s="49">
        <v>19</v>
      </c>
      <c r="F20" s="49">
        <v>1132</v>
      </c>
      <c r="G20" s="64">
        <f t="shared" si="0"/>
        <v>1151</v>
      </c>
      <c r="H20" s="399">
        <f>G20/G30</f>
        <v>4.4533003172637933E-2</v>
      </c>
    </row>
    <row r="21" spans="1:8" ht="13.5" customHeight="1">
      <c r="A21" s="382">
        <v>15</v>
      </c>
      <c r="B21" s="379" t="s">
        <v>81</v>
      </c>
      <c r="C21" s="68">
        <v>0</v>
      </c>
      <c r="D21" s="48">
        <v>0</v>
      </c>
      <c r="E21" s="49">
        <v>1</v>
      </c>
      <c r="F21" s="49">
        <v>1007</v>
      </c>
      <c r="G21" s="64">
        <f t="shared" si="0"/>
        <v>1008</v>
      </c>
      <c r="H21" s="399">
        <f>G21/G30</f>
        <v>3.9000232144238957E-2</v>
      </c>
    </row>
    <row r="22" spans="1:8" ht="15" customHeight="1">
      <c r="A22" s="378">
        <v>16</v>
      </c>
      <c r="B22" s="379" t="s">
        <v>82</v>
      </c>
      <c r="C22" s="68">
        <v>0</v>
      </c>
      <c r="D22" s="48">
        <v>0</v>
      </c>
      <c r="E22" s="49">
        <v>0</v>
      </c>
      <c r="F22" s="49">
        <v>1093</v>
      </c>
      <c r="G22" s="64">
        <f t="shared" si="0"/>
        <v>1093</v>
      </c>
      <c r="H22" s="399">
        <f>G22/G30</f>
        <v>4.2288942196084499E-2</v>
      </c>
    </row>
    <row r="23" spans="1:8" ht="24">
      <c r="A23" s="382">
        <v>17</v>
      </c>
      <c r="B23" s="379" t="s">
        <v>83</v>
      </c>
      <c r="C23" s="68">
        <v>0</v>
      </c>
      <c r="D23" s="48">
        <v>1</v>
      </c>
      <c r="E23" s="49">
        <v>3</v>
      </c>
      <c r="F23" s="49">
        <v>507</v>
      </c>
      <c r="G23" s="64">
        <f t="shared" si="0"/>
        <v>511</v>
      </c>
      <c r="H23" s="399">
        <f>G23/G30</f>
        <v>1.9770951017565579E-2</v>
      </c>
    </row>
    <row r="24" spans="1:8" ht="17.25" customHeight="1">
      <c r="A24" s="378">
        <v>18</v>
      </c>
      <c r="B24" s="383" t="s">
        <v>84</v>
      </c>
      <c r="C24" s="68">
        <v>0</v>
      </c>
      <c r="D24" s="48">
        <v>0</v>
      </c>
      <c r="E24" s="49">
        <v>7</v>
      </c>
      <c r="F24" s="49">
        <v>523</v>
      </c>
      <c r="G24" s="64">
        <f t="shared" si="0"/>
        <v>530</v>
      </c>
      <c r="H24" s="399">
        <f>G24/G30</f>
        <v>2.050607444091929E-2</v>
      </c>
    </row>
    <row r="25" spans="1:8" ht="15.75" customHeight="1">
      <c r="A25" s="378">
        <v>19</v>
      </c>
      <c r="B25" s="383" t="s">
        <v>85</v>
      </c>
      <c r="C25" s="68">
        <v>0</v>
      </c>
      <c r="D25" s="48">
        <v>0</v>
      </c>
      <c r="E25" s="49">
        <v>5</v>
      </c>
      <c r="F25" s="49">
        <v>655</v>
      </c>
      <c r="G25" s="64">
        <f t="shared" si="0"/>
        <v>660</v>
      </c>
      <c r="H25" s="399">
        <f>G25/G30</f>
        <v>2.5535866284918364E-2</v>
      </c>
    </row>
    <row r="26" spans="1:8" ht="24" customHeight="1">
      <c r="A26" s="382">
        <v>20</v>
      </c>
      <c r="B26" s="383" t="s">
        <v>86</v>
      </c>
      <c r="C26" s="68">
        <v>0</v>
      </c>
      <c r="D26" s="48">
        <v>0</v>
      </c>
      <c r="E26" s="49">
        <v>0</v>
      </c>
      <c r="F26" s="49">
        <v>41</v>
      </c>
      <c r="G26" s="411">
        <f t="shared" si="0"/>
        <v>41</v>
      </c>
      <c r="H26" s="399">
        <f>G26/G30</f>
        <v>1.5863189661843226E-3</v>
      </c>
    </row>
    <row r="27" spans="1:8" ht="16.5" customHeight="1">
      <c r="A27" s="378">
        <v>21</v>
      </c>
      <c r="B27" s="383" t="s">
        <v>87</v>
      </c>
      <c r="C27" s="68">
        <v>0</v>
      </c>
      <c r="D27" s="48">
        <v>0</v>
      </c>
      <c r="E27" s="49">
        <v>0</v>
      </c>
      <c r="F27" s="49">
        <v>20</v>
      </c>
      <c r="G27" s="64">
        <f t="shared" si="0"/>
        <v>20</v>
      </c>
      <c r="H27" s="399">
        <f>G27/G30</f>
        <v>7.7381412984601095E-4</v>
      </c>
    </row>
    <row r="28" spans="1:8" ht="14.25" customHeight="1">
      <c r="A28" s="378">
        <v>22</v>
      </c>
      <c r="B28" s="378" t="s">
        <v>88</v>
      </c>
      <c r="C28" s="68">
        <v>0</v>
      </c>
      <c r="D28" s="48">
        <v>2</v>
      </c>
      <c r="E28" s="49">
        <v>8</v>
      </c>
      <c r="F28" s="49">
        <v>1913</v>
      </c>
      <c r="G28" s="64">
        <f t="shared" si="0"/>
        <v>1923</v>
      </c>
      <c r="H28" s="399">
        <f>G28/G30</f>
        <v>7.4402228584693961E-2</v>
      </c>
    </row>
    <row r="29" spans="1:8" ht="15" customHeight="1" thickBot="1">
      <c r="A29" s="401">
        <v>23</v>
      </c>
      <c r="B29" s="401" t="s">
        <v>89</v>
      </c>
      <c r="C29" s="326">
        <v>0</v>
      </c>
      <c r="D29" s="421">
        <v>0</v>
      </c>
      <c r="E29" s="422">
        <v>0</v>
      </c>
      <c r="F29" s="422">
        <v>0</v>
      </c>
      <c r="G29" s="465">
        <f t="shared" si="0"/>
        <v>0</v>
      </c>
      <c r="H29" s="417">
        <f>G29/G30</f>
        <v>0</v>
      </c>
    </row>
    <row r="30" spans="1:8" ht="24" customHeight="1" thickBot="1">
      <c r="A30" s="574" t="s">
        <v>6</v>
      </c>
      <c r="B30" s="574"/>
      <c r="C30" s="352">
        <f t="shared" ref="C30:G30" si="1">SUM(C7:C29)</f>
        <v>19</v>
      </c>
      <c r="D30" s="424">
        <f t="shared" si="1"/>
        <v>17</v>
      </c>
      <c r="E30" s="424">
        <f t="shared" si="1"/>
        <v>2426</v>
      </c>
      <c r="F30" s="424">
        <f t="shared" si="1"/>
        <v>23384</v>
      </c>
      <c r="G30" s="425">
        <f t="shared" si="1"/>
        <v>25846</v>
      </c>
      <c r="H30" s="418">
        <f>SUM(H7:H29)</f>
        <v>0.99999999999999989</v>
      </c>
    </row>
    <row r="31" spans="1:8">
      <c r="A31" s="356"/>
      <c r="B31" s="357"/>
      <c r="C31" s="358"/>
      <c r="D31" s="358"/>
      <c r="E31" s="358"/>
      <c r="F31" s="358"/>
      <c r="G31" s="358"/>
    </row>
    <row r="32" spans="1:8">
      <c r="G32" s="57" t="s">
        <v>12</v>
      </c>
    </row>
    <row r="33" spans="1:7">
      <c r="A33" s="546">
        <v>44243</v>
      </c>
      <c r="B33" s="546"/>
      <c r="G33" s="57" t="s">
        <v>90</v>
      </c>
    </row>
    <row r="34" spans="1:7">
      <c r="B34" s="37"/>
    </row>
  </sheetData>
  <mergeCells count="9">
    <mergeCell ref="A30:B30"/>
    <mergeCell ref="A33:B33"/>
    <mergeCell ref="H5:H6"/>
    <mergeCell ref="A2:G2"/>
    <mergeCell ref="A3:C3"/>
    <mergeCell ref="C5:D5"/>
    <mergeCell ref="E5:F5"/>
    <mergeCell ref="G5:G6"/>
    <mergeCell ref="C4:H4"/>
  </mergeCells>
  <pageMargins left="0.70866141732283472" right="0.70866141732283472" top="0.35433070866141736" bottom="0.15748031496062992" header="0.31496062992125984" footer="0.31496062992125984"/>
  <pageSetup paperSize="9" scale="98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9" sqref="E9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opLeftCell="B13" zoomScale="80" zoomScaleNormal="80" workbookViewId="0">
      <selection activeCell="H10" sqref="H1:N1048576"/>
    </sheetView>
  </sheetViews>
  <sheetFormatPr defaultRowHeight="12.75"/>
  <cols>
    <col min="1" max="1" width="14.85546875" customWidth="1"/>
    <col min="4" max="4" width="9.7109375" customWidth="1"/>
    <col min="9" max="9" width="8.85546875" customWidth="1"/>
    <col min="10" max="10" width="9.5703125" customWidth="1"/>
    <col min="13" max="13" width="8.5703125" customWidth="1"/>
    <col min="14" max="14" width="10.7109375" customWidth="1"/>
  </cols>
  <sheetData>
    <row r="1" spans="1:14">
      <c r="A1" s="67" t="s">
        <v>95</v>
      </c>
      <c r="L1" s="473"/>
      <c r="M1" s="473"/>
      <c r="N1" s="473"/>
    </row>
    <row r="2" spans="1:14">
      <c r="A2" s="481" t="s">
        <v>49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</row>
    <row r="3" spans="1:14">
      <c r="A3" s="482" t="s">
        <v>146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</row>
    <row r="4" spans="1:14" ht="13.5" thickBot="1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95" customHeight="1">
      <c r="A5" s="477" t="s">
        <v>0</v>
      </c>
      <c r="B5" s="483">
        <v>2019</v>
      </c>
      <c r="C5" s="483"/>
      <c r="D5" s="483"/>
      <c r="E5" s="483"/>
      <c r="F5" s="483"/>
      <c r="G5" s="483"/>
      <c r="H5" s="483">
        <v>2020</v>
      </c>
      <c r="I5" s="483"/>
      <c r="J5" s="483"/>
      <c r="K5" s="483"/>
      <c r="L5" s="483"/>
      <c r="M5" s="483"/>
      <c r="N5" s="484" t="s">
        <v>115</v>
      </c>
    </row>
    <row r="6" spans="1:14" ht="15.95" customHeight="1">
      <c r="A6" s="478"/>
      <c r="B6" s="83" t="s">
        <v>1</v>
      </c>
      <c r="C6" s="83" t="s">
        <v>2</v>
      </c>
      <c r="D6" s="83" t="s">
        <v>3</v>
      </c>
      <c r="E6" s="83" t="s">
        <v>4</v>
      </c>
      <c r="F6" s="83" t="s">
        <v>5</v>
      </c>
      <c r="G6" s="83" t="s">
        <v>6</v>
      </c>
      <c r="H6" s="83" t="s">
        <v>1</v>
      </c>
      <c r="I6" s="83" t="s">
        <v>2</v>
      </c>
      <c r="J6" s="83" t="s">
        <v>3</v>
      </c>
      <c r="K6" s="83" t="s">
        <v>4</v>
      </c>
      <c r="L6" s="83" t="s">
        <v>5</v>
      </c>
      <c r="M6" s="83" t="s">
        <v>6</v>
      </c>
      <c r="N6" s="485"/>
    </row>
    <row r="7" spans="1:14" ht="15.95" customHeight="1">
      <c r="A7" s="14" t="s">
        <v>19</v>
      </c>
      <c r="B7" s="201">
        <v>4423</v>
      </c>
      <c r="C7" s="201">
        <v>3777</v>
      </c>
      <c r="D7" s="201">
        <v>9142</v>
      </c>
      <c r="E7" s="201">
        <v>4545</v>
      </c>
      <c r="F7" s="201">
        <v>5635</v>
      </c>
      <c r="G7" s="267">
        <v>27522</v>
      </c>
      <c r="H7" s="15">
        <f>'κατά επαρχία και φύλο το 2020'!B7+'κατά επαρχία και φύλο το 2020'!I7</f>
        <v>3700</v>
      </c>
      <c r="I7" s="15">
        <f>'κατά επαρχία και φύλο το 2020'!C7+'κατά επαρχία και φύλο το 2020'!J7</f>
        <v>3514</v>
      </c>
      <c r="J7" s="15">
        <f>'κατά επαρχία και φύλο το 2020'!D7+'κατά επαρχία και φύλο το 2020'!K7</f>
        <v>9232</v>
      </c>
      <c r="K7" s="15">
        <f>'κατά επαρχία και φύλο το 2020'!E7+'κατά επαρχία και φύλο το 2020'!L7</f>
        <v>3939</v>
      </c>
      <c r="L7" s="15">
        <f>'κατά επαρχία και φύλο το 2020'!F7+'κατά επαρχία και φύλο το 2020'!M7</f>
        <v>5077</v>
      </c>
      <c r="M7" s="270">
        <f t="shared" ref="M7:M11" si="0">SUM(H7:L7)</f>
        <v>25462</v>
      </c>
      <c r="N7" s="84">
        <f t="shared" ref="N7:N20" si="1">(M7/G7)-1</f>
        <v>-7.4849211539859017E-2</v>
      </c>
    </row>
    <row r="8" spans="1:14" ht="15.95" customHeight="1">
      <c r="A8" s="14" t="s">
        <v>20</v>
      </c>
      <c r="B8" s="201">
        <v>3962</v>
      </c>
      <c r="C8" s="201">
        <v>3548</v>
      </c>
      <c r="D8" s="201">
        <v>8907</v>
      </c>
      <c r="E8" s="201">
        <v>4054</v>
      </c>
      <c r="F8" s="201">
        <v>5060</v>
      </c>
      <c r="G8" s="267">
        <v>25531</v>
      </c>
      <c r="H8" s="15">
        <f>'κατά επαρχία και φύλο το 2020'!B8+'κατά επαρχία και φύλο το 2020'!I8</f>
        <v>3592</v>
      </c>
      <c r="I8" s="15">
        <f>'κατά επαρχία και φύλο το 2020'!C8+'κατά επαρχία και φύλο το 2020'!J8</f>
        <v>3530</v>
      </c>
      <c r="J8" s="15">
        <f>'κατά επαρχία και φύλο το 2020'!D8+'κατά επαρχία και φύλο το 2020'!K8</f>
        <v>9032</v>
      </c>
      <c r="K8" s="15">
        <f>'κατά επαρχία και φύλο το 2020'!E8+'κατά επαρχία και φύλο το 2020'!L8</f>
        <v>3962</v>
      </c>
      <c r="L8" s="15">
        <f>'κατά επαρχία και φύλο το 2020'!F8+'κατά επαρχία και φύλο το 2020'!M8</f>
        <v>4918</v>
      </c>
      <c r="M8" s="270">
        <f t="shared" si="0"/>
        <v>25034</v>
      </c>
      <c r="N8" s="84">
        <f t="shared" si="1"/>
        <v>-1.9466530884023392E-2</v>
      </c>
    </row>
    <row r="9" spans="1:14" ht="15.95" customHeight="1">
      <c r="A9" s="14" t="s">
        <v>21</v>
      </c>
      <c r="B9" s="201">
        <v>3964</v>
      </c>
      <c r="C9" s="201">
        <v>3185</v>
      </c>
      <c r="D9" s="201">
        <v>8397</v>
      </c>
      <c r="E9" s="201">
        <v>3659</v>
      </c>
      <c r="F9" s="201">
        <v>3819</v>
      </c>
      <c r="G9" s="267">
        <v>23024</v>
      </c>
      <c r="H9" s="15">
        <f>'κατά επαρχία και φύλο το 2020'!B9+'κατά επαρχία και φύλο το 2020'!I9</f>
        <v>4016</v>
      </c>
      <c r="I9" s="15">
        <f>'κατά επαρχία και φύλο το 2020'!C9+'κατά επαρχία και φύλο το 2020'!J9</f>
        <v>4000</v>
      </c>
      <c r="J9" s="15">
        <f>'κατά επαρχία και φύλο το 2020'!D9+'κατά επαρχία και φύλο το 2020'!K9</f>
        <v>10235</v>
      </c>
      <c r="K9" s="15">
        <f>'κατά επαρχία και φύλο το 2020'!E9+'κατά επαρχία και φύλο το 2020'!L9</f>
        <v>6086</v>
      </c>
      <c r="L9" s="15">
        <f>'κατά επαρχία και φύλο το 2020'!F9+'κατά επαρχία και φύλο το 2020'!M9</f>
        <v>7398</v>
      </c>
      <c r="M9" s="270">
        <f t="shared" si="0"/>
        <v>31735</v>
      </c>
      <c r="N9" s="84">
        <f t="shared" si="1"/>
        <v>0.3783443363446839</v>
      </c>
    </row>
    <row r="10" spans="1:14" ht="15.95" customHeight="1">
      <c r="A10" s="14" t="s">
        <v>22</v>
      </c>
      <c r="B10" s="201">
        <v>3970</v>
      </c>
      <c r="C10" s="201">
        <v>2783</v>
      </c>
      <c r="D10" s="201">
        <v>6459</v>
      </c>
      <c r="E10" s="201">
        <v>3382</v>
      </c>
      <c r="F10" s="201">
        <v>2565</v>
      </c>
      <c r="G10" s="267">
        <v>19159</v>
      </c>
      <c r="H10" s="15">
        <f>'κατά επαρχία και φύλο το 2020'!B10+'κατά επαρχία και φύλο το 2020'!I10</f>
        <v>3975</v>
      </c>
      <c r="I10" s="15">
        <f>'κατά επαρχία και φύλο το 2020'!C10+'κατά επαρχία και φύλο το 2020'!J10</f>
        <v>3163</v>
      </c>
      <c r="J10" s="15">
        <f>'κατά επαρχία και φύλο το 2020'!D10+'κατά επαρχία και φύλο το 2020'!K10</f>
        <v>6759</v>
      </c>
      <c r="K10" s="15">
        <f>'κατά επαρχία και φύλο το 2020'!E10+'κατά επαρχία και φύλο το 2020'!L10</f>
        <v>3743</v>
      </c>
      <c r="L10" s="15">
        <f>'κατά επαρχία και φύλο το 2020'!F10+'κατά επαρχία και φύλο το 2020'!M10</f>
        <v>3292</v>
      </c>
      <c r="M10" s="270">
        <f t="shared" si="0"/>
        <v>20932</v>
      </c>
      <c r="N10" s="84">
        <f t="shared" si="1"/>
        <v>9.2541364371835799E-2</v>
      </c>
    </row>
    <row r="11" spans="1:14" ht="15.95" customHeight="1">
      <c r="A11" s="14" t="s">
        <v>23</v>
      </c>
      <c r="B11" s="201">
        <v>3905</v>
      </c>
      <c r="C11" s="201">
        <v>1953</v>
      </c>
      <c r="D11" s="201">
        <v>1727</v>
      </c>
      <c r="E11" s="201">
        <v>3203</v>
      </c>
      <c r="F11" s="201">
        <v>1209</v>
      </c>
      <c r="G11" s="267">
        <v>11997</v>
      </c>
      <c r="H11" s="15">
        <f>'κατά επαρχία και φύλο το 2020'!B11+'κατά επαρχία και φύλο το 2020'!I11</f>
        <v>4665</v>
      </c>
      <c r="I11" s="15">
        <f>'κατά επαρχία και φύλο το 2020'!C11+'κατά επαρχία και φύλο το 2020'!J11</f>
        <v>3496</v>
      </c>
      <c r="J11" s="15">
        <f>'κατά επαρχία και φύλο το 2020'!D11+'κατά επαρχία και φύλο το 2020'!K11</f>
        <v>6829</v>
      </c>
      <c r="K11" s="15">
        <f>'κατά επαρχία και φύλο το 2020'!E11+'κατά επαρχία και φύλο το 2020'!L11</f>
        <v>4410</v>
      </c>
      <c r="L11" s="15">
        <f>'κατά επαρχία και φύλο το 2020'!F11+'κατά επαρχία και φύλο το 2020'!M11</f>
        <v>3390</v>
      </c>
      <c r="M11" s="270">
        <f t="shared" si="0"/>
        <v>22790</v>
      </c>
      <c r="N11" s="84">
        <f t="shared" si="1"/>
        <v>0.89964157706093184</v>
      </c>
    </row>
    <row r="12" spans="1:14" ht="15.95" customHeight="1" thickBot="1">
      <c r="A12" s="59" t="s">
        <v>24</v>
      </c>
      <c r="B12" s="202">
        <v>4398</v>
      </c>
      <c r="C12" s="202">
        <v>1975</v>
      </c>
      <c r="D12" s="202">
        <v>566</v>
      </c>
      <c r="E12" s="202">
        <v>3638</v>
      </c>
      <c r="F12" s="202">
        <v>1030</v>
      </c>
      <c r="G12" s="268">
        <v>11607</v>
      </c>
      <c r="H12" s="252">
        <f>SUM('κατά επαρχία και φύλο το 2020'!B12,'κατά επαρχία και φύλο το 2020'!I12)</f>
        <v>6626</v>
      </c>
      <c r="I12" s="15">
        <f>SUM('κατά επαρχία και φύλο το 2020'!C12,'κατά επαρχία και φύλο το 2020'!J12)</f>
        <v>4349</v>
      </c>
      <c r="J12" s="15">
        <f>SUM('κατά επαρχία και φύλο το 2020'!D12,'κατά επαρχία και φύλο το 2020'!K12)</f>
        <v>6842</v>
      </c>
      <c r="K12" s="15">
        <f>SUM('κατά επαρχία και φύλο το 2020'!E12,'κατά επαρχία και φύλο το 2020'!L12)</f>
        <v>5993</v>
      </c>
      <c r="L12" s="15">
        <f>SUM('κατά επαρχία και φύλο το 2020'!F12,'κατά επαρχία και φύλο το 2020'!M12)</f>
        <v>3672</v>
      </c>
      <c r="M12" s="270">
        <f>SUM(H12:L12)</f>
        <v>27482</v>
      </c>
      <c r="N12" s="299">
        <f t="shared" si="1"/>
        <v>1.3677091410355819</v>
      </c>
    </row>
    <row r="13" spans="1:14" ht="15.95" customHeight="1">
      <c r="A13" s="474" t="s">
        <v>44</v>
      </c>
      <c r="B13" s="203"/>
      <c r="C13" s="204"/>
      <c r="D13" s="204"/>
      <c r="E13" s="204"/>
      <c r="F13" s="204"/>
      <c r="G13" s="204"/>
      <c r="H13" s="139"/>
      <c r="I13" s="139"/>
      <c r="J13" s="139"/>
      <c r="K13" s="139"/>
      <c r="L13" s="139"/>
      <c r="M13" s="141"/>
      <c r="N13" s="300"/>
    </row>
    <row r="14" spans="1:14" ht="20.25" customHeight="1" thickBot="1">
      <c r="A14" s="471"/>
      <c r="B14" s="180">
        <v>4103.666666666667</v>
      </c>
      <c r="C14" s="180">
        <v>2870.1666666666665</v>
      </c>
      <c r="D14" s="180">
        <v>5866.333333333333</v>
      </c>
      <c r="E14" s="180">
        <v>3746.8333333333335</v>
      </c>
      <c r="F14" s="180">
        <v>3219.6666666666665</v>
      </c>
      <c r="G14" s="180">
        <v>19806.666666666668</v>
      </c>
      <c r="H14" s="140">
        <f>AVERAGE(H7:H12)</f>
        <v>4429</v>
      </c>
      <c r="I14" s="140">
        <f t="shared" ref="I14:L14" si="2">AVERAGE(I7:I12)</f>
        <v>3675.3333333333335</v>
      </c>
      <c r="J14" s="140">
        <f t="shared" si="2"/>
        <v>8154.833333333333</v>
      </c>
      <c r="K14" s="140">
        <f t="shared" si="2"/>
        <v>4688.833333333333</v>
      </c>
      <c r="L14" s="140">
        <f t="shared" si="2"/>
        <v>4624.5</v>
      </c>
      <c r="M14" s="140">
        <f>AVERAGE(M7:M12)</f>
        <v>25572.5</v>
      </c>
      <c r="N14" s="143">
        <f>M14/G14-1</f>
        <v>0.29110568832043082</v>
      </c>
    </row>
    <row r="15" spans="1:14" ht="15.95" customHeight="1">
      <c r="A15" s="58" t="s">
        <v>25</v>
      </c>
      <c r="B15" s="205">
        <v>5182</v>
      </c>
      <c r="C15" s="205">
        <v>2220</v>
      </c>
      <c r="D15" s="205">
        <v>625</v>
      </c>
      <c r="E15" s="205">
        <v>4347</v>
      </c>
      <c r="F15" s="205">
        <v>1166</v>
      </c>
      <c r="G15" s="269">
        <v>13540</v>
      </c>
      <c r="H15" s="12">
        <f>SUM('κατά επαρχία και φύλο το 2020'!B15,'κατά επαρχία και φύλο το 2020'!I15)</f>
        <v>7831</v>
      </c>
      <c r="I15" s="12">
        <f>SUM('κατά επαρχία και φύλο το 2020'!C15,'κατά επαρχία και φύλο το 2020'!J15)</f>
        <v>4800</v>
      </c>
      <c r="J15" s="12">
        <f>SUM('κατά επαρχία και φύλο το 2020'!D15,'κατά επαρχία και φύλο το 2020'!K15)</f>
        <v>6112</v>
      </c>
      <c r="K15" s="12">
        <f>SUM('κατά επαρχία και φύλο το 2020'!E15,'κατά επαρχία και φύλο το 2020'!L15)</f>
        <v>6989</v>
      </c>
      <c r="L15" s="12">
        <f>SUM('κατά επαρχία και φύλο το 2020'!F15,'κατά επαρχία και φύλο το 2020'!M15)</f>
        <v>3920</v>
      </c>
      <c r="M15" s="271">
        <f>SUM(H15:L15)</f>
        <v>29652</v>
      </c>
      <c r="N15" s="298">
        <f t="shared" si="1"/>
        <v>1.1899556868537666</v>
      </c>
    </row>
    <row r="16" spans="1:14" ht="15.95" customHeight="1">
      <c r="A16" s="14" t="s">
        <v>7</v>
      </c>
      <c r="B16" s="201">
        <v>5248</v>
      </c>
      <c r="C16" s="201">
        <v>2206</v>
      </c>
      <c r="D16" s="201">
        <v>604</v>
      </c>
      <c r="E16" s="201">
        <v>4294</v>
      </c>
      <c r="F16" s="201">
        <v>1147</v>
      </c>
      <c r="G16" s="267">
        <v>13499</v>
      </c>
      <c r="H16" s="12">
        <f>SUM('κατά επαρχία και φύλο το 2020'!B16,'κατά επαρχία και φύλο το 2020'!I16)</f>
        <v>8163</v>
      </c>
      <c r="I16" s="12">
        <f>SUM('κατά επαρχία και φύλο το 2020'!C16,'κατά επαρχία και φύλο το 2020'!J16)</f>
        <v>4723</v>
      </c>
      <c r="J16" s="12">
        <f>SUM('κατά επαρχία και φύλο το 2020'!D16,'κατά επαρχία και φύλο το 2020'!K16)</f>
        <v>5404</v>
      </c>
      <c r="K16" s="12">
        <f>SUM('κατά επαρχία και φύλο το 2020'!E16,'κατά επαρχία και φύλο το 2020'!L16)</f>
        <v>7097</v>
      </c>
      <c r="L16" s="12">
        <f>SUM('κατά επαρχία και φύλο το 2020'!F16,'κατά επαρχία και φύλο το 2020'!M16)</f>
        <v>3988</v>
      </c>
      <c r="M16" s="271">
        <f>SUM(H16:L16)</f>
        <v>29375</v>
      </c>
      <c r="N16" s="84">
        <f t="shared" si="1"/>
        <v>1.176087117564264</v>
      </c>
    </row>
    <row r="17" spans="1:20" ht="15.95" customHeight="1">
      <c r="A17" s="14" t="s">
        <v>26</v>
      </c>
      <c r="B17" s="201">
        <v>5324</v>
      </c>
      <c r="C17" s="201">
        <v>2207</v>
      </c>
      <c r="D17" s="201">
        <v>648</v>
      </c>
      <c r="E17" s="201">
        <v>4426</v>
      </c>
      <c r="F17" s="201">
        <v>1189</v>
      </c>
      <c r="G17" s="267">
        <v>13794</v>
      </c>
      <c r="H17" s="12">
        <f>SUM('κατά επαρχία και φύλο το 2020'!B17,'κατά επαρχία και φύλο το 2020'!I17)</f>
        <v>8268</v>
      </c>
      <c r="I17" s="12">
        <f>SUM('κατά επαρχία και φύλο το 2020'!C17,'κατά επαρχία και φύλο το 2020'!J17)</f>
        <v>4621</v>
      </c>
      <c r="J17" s="12">
        <f>SUM('κατά επαρχία και φύλο το 2020'!D17,'κατά επαρχία και φύλο το 2020'!K17)</f>
        <v>5356</v>
      </c>
      <c r="K17" s="12">
        <f>SUM('κατά επαρχία και φύλο το 2020'!E17,'κατά επαρχία και φύλο το 2020'!L17)</f>
        <v>6788</v>
      </c>
      <c r="L17" s="12">
        <f>SUM('κατά επαρχία και φύλο το 2020'!F17,'κατά επαρχία και φύλο το 2020'!M17)</f>
        <v>3409</v>
      </c>
      <c r="M17" s="271">
        <f>SUM(H17:L17)</f>
        <v>28442</v>
      </c>
      <c r="N17" s="84">
        <f t="shared" si="1"/>
        <v>1.0619109757865739</v>
      </c>
      <c r="Q17" s="153"/>
    </row>
    <row r="18" spans="1:20" ht="15.95" customHeight="1">
      <c r="A18" s="14" t="s">
        <v>27</v>
      </c>
      <c r="B18" s="201">
        <v>3702</v>
      </c>
      <c r="C18" s="201">
        <v>1680</v>
      </c>
      <c r="D18" s="201">
        <v>810</v>
      </c>
      <c r="E18" s="201">
        <v>3195</v>
      </c>
      <c r="F18" s="201">
        <v>978</v>
      </c>
      <c r="G18" s="267">
        <v>10365</v>
      </c>
      <c r="H18" s="12">
        <f>SUM('κατά επαρχία και φύλο το 2020'!B18,'κατά επαρχία και φύλο το 2020'!I18)</f>
        <v>7715</v>
      </c>
      <c r="I18" s="12">
        <f>SUM('κατά επαρχία και φύλο το 2020'!C18,'κατά επαρχία και φύλο το 2020'!J18)</f>
        <v>4363</v>
      </c>
      <c r="J18" s="12">
        <f>SUM('κατά επαρχία και φύλο το 2020'!D18,'κατά επαρχία και φύλο το 2020'!K18)</f>
        <v>5274</v>
      </c>
      <c r="K18" s="12">
        <f>SUM('κατά επαρχία και φύλο το 2020'!E18,'κατά επαρχία και φύλο το 2020'!L18)</f>
        <v>6604</v>
      </c>
      <c r="L18" s="12">
        <f>SUM('κατά επαρχία και φύλο το 2020'!F18,'κατά επαρχία και φύλο το 2020'!M18)</f>
        <v>3129</v>
      </c>
      <c r="M18" s="271">
        <f t="shared" ref="M18:M20" si="3">SUM(H18:L18)</f>
        <v>27085</v>
      </c>
      <c r="N18" s="84">
        <f t="shared" si="1"/>
        <v>1.6131210805595755</v>
      </c>
    </row>
    <row r="19" spans="1:20" ht="15.95" customHeight="1">
      <c r="A19" s="14" t="s">
        <v>28</v>
      </c>
      <c r="B19" s="201">
        <v>3584</v>
      </c>
      <c r="C19" s="201">
        <v>2733</v>
      </c>
      <c r="D19" s="201">
        <v>7223</v>
      </c>
      <c r="E19" s="201">
        <v>3447</v>
      </c>
      <c r="F19" s="201">
        <v>2807</v>
      </c>
      <c r="G19" s="267">
        <v>19794</v>
      </c>
      <c r="H19" s="12">
        <f>SUM('κατά επαρχία και φύλο το 2020'!B19,'κατά επαρχία και φύλο το 2020'!I19)</f>
        <v>7518</v>
      </c>
      <c r="I19" s="12">
        <f>SUM('κατά επαρχία και φύλο το 2020'!C19,'κατά επαρχία και φύλο το 2020'!J19)</f>
        <v>4575</v>
      </c>
      <c r="J19" s="12">
        <f>SUM('κατά επαρχία και φύλο το 2020'!D19,'κατά επαρχία και φύλο το 2020'!K19)</f>
        <v>5134</v>
      </c>
      <c r="K19" s="12">
        <f>SUM('κατά επαρχία και φύλο το 2020'!E19,'κατά επαρχία και φύλο το 2020'!L19)</f>
        <v>6653</v>
      </c>
      <c r="L19" s="12">
        <f>SUM('κατά επαρχία και φύλο το 2020'!F19,'κατά επαρχία και φύλο το 2020'!M19)</f>
        <v>3321</v>
      </c>
      <c r="M19" s="271">
        <f t="shared" ref="M19" si="4">SUM(H19:L19)</f>
        <v>27201</v>
      </c>
      <c r="N19" s="84">
        <f t="shared" si="1"/>
        <v>0.3742043043346468</v>
      </c>
    </row>
    <row r="20" spans="1:20" ht="15.95" customHeight="1" thickBot="1">
      <c r="A20" s="59" t="s">
        <v>29</v>
      </c>
      <c r="B20" s="202">
        <v>3617</v>
      </c>
      <c r="C20" s="202">
        <v>3239</v>
      </c>
      <c r="D20" s="202">
        <v>8795</v>
      </c>
      <c r="E20" s="202">
        <v>3662</v>
      </c>
      <c r="F20" s="202">
        <v>4356</v>
      </c>
      <c r="G20" s="268">
        <v>23669</v>
      </c>
      <c r="H20" s="12">
        <f>SUM('κατά επαρχία και φύλο το 2020'!B20,'κατά επαρχία και φύλο το 2020'!I20)</f>
        <v>7356</v>
      </c>
      <c r="I20" s="12">
        <f>SUM('κατά επαρχία και φύλο το 2020'!C20,'κατά επαρχία και φύλο το 2020'!J20)</f>
        <v>4450</v>
      </c>
      <c r="J20" s="12">
        <f>SUM('κατά επαρχία και φύλο το 2020'!D20,'κατά επαρχία και φύλο το 2020'!K20)</f>
        <v>4241</v>
      </c>
      <c r="K20" s="12">
        <f>SUM('κατά επαρχία και φύλο το 2020'!E20,'κατά επαρχία και φύλο το 2020'!L20)</f>
        <v>6276</v>
      </c>
      <c r="L20" s="12">
        <f>SUM('κατά επαρχία και φύλο το 2020'!F20,'κατά επαρχία και φύλο το 2020'!M20)</f>
        <v>3523</v>
      </c>
      <c r="M20" s="301">
        <f t="shared" si="3"/>
        <v>25846</v>
      </c>
      <c r="N20" s="84">
        <f t="shared" si="1"/>
        <v>9.1976847353077762E-2</v>
      </c>
      <c r="Q20" s="179"/>
    </row>
    <row r="21" spans="1:20" ht="15.95" customHeight="1">
      <c r="A21" s="474" t="s">
        <v>42</v>
      </c>
      <c r="B21" s="204"/>
      <c r="C21" s="204"/>
      <c r="D21" s="204"/>
      <c r="E21" s="204"/>
      <c r="F21" s="204"/>
      <c r="G21" s="204"/>
      <c r="H21" s="139"/>
      <c r="I21" s="139"/>
      <c r="J21" s="139"/>
      <c r="K21" s="139"/>
      <c r="L21" s="139"/>
      <c r="M21" s="294"/>
      <c r="N21" s="155"/>
    </row>
    <row r="22" spans="1:20" ht="21" customHeight="1" thickBot="1">
      <c r="A22" s="471"/>
      <c r="B22" s="180">
        <v>4442.833333333333</v>
      </c>
      <c r="C22" s="180">
        <v>2380.8333333333335</v>
      </c>
      <c r="D22" s="180">
        <v>3117.5</v>
      </c>
      <c r="E22" s="180">
        <v>3895.1666666666665</v>
      </c>
      <c r="F22" s="180">
        <v>1940.5</v>
      </c>
      <c r="G22" s="180">
        <v>15776.833333333334</v>
      </c>
      <c r="H22" s="140">
        <f>AVERAGE(H15:H20)</f>
        <v>7808.5</v>
      </c>
      <c r="I22" s="140">
        <f t="shared" ref="I22:L22" si="5">AVERAGE(I15:I20)</f>
        <v>4588.666666666667</v>
      </c>
      <c r="J22" s="140">
        <f t="shared" si="5"/>
        <v>5253.5</v>
      </c>
      <c r="K22" s="140">
        <f t="shared" si="5"/>
        <v>6734.5</v>
      </c>
      <c r="L22" s="140">
        <f t="shared" si="5"/>
        <v>3548.3333333333335</v>
      </c>
      <c r="M22" s="140">
        <f>AVERAGE(M15:M20)</f>
        <v>27933.5</v>
      </c>
      <c r="N22" s="251">
        <f>M22/G22-1</f>
        <v>0.77053908156474149</v>
      </c>
    </row>
    <row r="23" spans="1:20" ht="15.95" customHeight="1">
      <c r="A23" s="474" t="s">
        <v>47</v>
      </c>
      <c r="B23" s="206"/>
      <c r="C23" s="206"/>
      <c r="D23" s="206"/>
      <c r="E23" s="206"/>
      <c r="F23" s="206"/>
      <c r="G23" s="206"/>
      <c r="H23" s="141"/>
      <c r="I23" s="141"/>
      <c r="J23" s="141"/>
      <c r="K23" s="141"/>
      <c r="L23" s="141"/>
      <c r="M23" s="294"/>
      <c r="N23" s="142"/>
    </row>
    <row r="24" spans="1:20" ht="20.25" customHeight="1" thickBot="1">
      <c r="A24" s="471"/>
      <c r="B24" s="180">
        <v>4273.25</v>
      </c>
      <c r="C24" s="180">
        <v>2625.5</v>
      </c>
      <c r="D24" s="180">
        <v>4491.9166666666661</v>
      </c>
      <c r="E24" s="180">
        <v>3821</v>
      </c>
      <c r="F24" s="180">
        <v>2580.0833333333335</v>
      </c>
      <c r="G24" s="180">
        <v>17791.75</v>
      </c>
      <c r="H24" s="140">
        <f>AVERAGE(H14,H22)</f>
        <v>6118.75</v>
      </c>
      <c r="I24" s="140">
        <f t="shared" ref="I24:M24" si="6">AVERAGE(I14,I22)</f>
        <v>4132</v>
      </c>
      <c r="J24" s="140">
        <f t="shared" si="6"/>
        <v>6704.1666666666661</v>
      </c>
      <c r="K24" s="140">
        <f t="shared" si="6"/>
        <v>5711.6666666666661</v>
      </c>
      <c r="L24" s="140">
        <f t="shared" si="6"/>
        <v>4086.416666666667</v>
      </c>
      <c r="M24" s="140">
        <f t="shared" si="6"/>
        <v>26753</v>
      </c>
      <c r="N24" s="143">
        <f>M24/G24-1</f>
        <v>0.5036744558573496</v>
      </c>
      <c r="Q24" s="179"/>
    </row>
    <row r="25" spans="1:20">
      <c r="A25" s="9"/>
      <c r="B25" s="9"/>
      <c r="C25" s="10"/>
      <c r="D25" s="9"/>
      <c r="E25" s="9"/>
      <c r="F25" s="9"/>
      <c r="G25" s="9"/>
      <c r="H25" s="9"/>
      <c r="I25" s="9"/>
      <c r="J25" s="1"/>
      <c r="K25" s="1"/>
      <c r="L25" s="1"/>
      <c r="M25" s="1"/>
      <c r="N25" s="1"/>
    </row>
    <row r="26" spans="1:20">
      <c r="A26" s="16"/>
      <c r="B26" s="10"/>
      <c r="C26" s="9"/>
      <c r="D26" s="9"/>
      <c r="E26" s="9"/>
      <c r="F26" s="9"/>
      <c r="G26" s="9"/>
      <c r="H26" s="9"/>
      <c r="I26" s="9"/>
      <c r="J26" s="1"/>
      <c r="K26" s="1"/>
      <c r="L26" s="1"/>
      <c r="M26" s="1"/>
      <c r="N26" s="1"/>
    </row>
    <row r="27" spans="1:20">
      <c r="A27" s="16"/>
      <c r="B27" s="10"/>
      <c r="C27" s="9"/>
      <c r="D27" s="9"/>
      <c r="E27" s="9"/>
      <c r="F27" s="9"/>
      <c r="G27" s="9"/>
      <c r="H27" s="9"/>
      <c r="I27" s="9"/>
      <c r="J27" s="1"/>
      <c r="K27" s="1"/>
      <c r="L27" s="1"/>
      <c r="M27" s="1"/>
      <c r="N27" s="1"/>
      <c r="O27" s="179"/>
      <c r="P27" s="179"/>
      <c r="Q27" s="179"/>
      <c r="R27" s="179"/>
      <c r="S27" s="179"/>
      <c r="T27" s="179"/>
    </row>
    <row r="28" spans="1:20">
      <c r="A28" s="1"/>
      <c r="B28" s="10"/>
      <c r="C28" s="9"/>
      <c r="D28" s="9"/>
      <c r="E28" s="9"/>
      <c r="F28" s="9"/>
      <c r="G28" s="9"/>
      <c r="H28" s="9"/>
      <c r="I28" s="9"/>
      <c r="J28" s="1"/>
      <c r="K28" s="1"/>
      <c r="L28" s="2" t="s">
        <v>12</v>
      </c>
      <c r="M28" s="1"/>
      <c r="N28" s="1"/>
    </row>
    <row r="29" spans="1:20">
      <c r="A29" s="29">
        <f>'κατά επαρχία και φύλο το 2020'!A28</f>
        <v>44243</v>
      </c>
      <c r="B29" s="10"/>
      <c r="C29" s="17"/>
      <c r="D29" s="9"/>
      <c r="E29" s="9"/>
      <c r="F29" s="9"/>
      <c r="G29" s="9"/>
      <c r="H29" s="9"/>
      <c r="I29" s="9"/>
      <c r="J29" s="1"/>
      <c r="K29" s="10" t="s">
        <v>11</v>
      </c>
      <c r="L29" s="2"/>
      <c r="M29" s="1"/>
      <c r="N29" s="1"/>
    </row>
  </sheetData>
  <mergeCells count="10">
    <mergeCell ref="L1:N1"/>
    <mergeCell ref="A13:A14"/>
    <mergeCell ref="A21:A22"/>
    <mergeCell ref="A23:A24"/>
    <mergeCell ref="A2:N2"/>
    <mergeCell ref="A3:N3"/>
    <mergeCell ref="B5:G5"/>
    <mergeCell ref="H5:M5"/>
    <mergeCell ref="A5:A6"/>
    <mergeCell ref="N5:N6"/>
  </mergeCells>
  <phoneticPr fontId="10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topLeftCell="A19" zoomScale="80" zoomScaleNormal="80" workbookViewId="0">
      <selection activeCell="G31" sqref="G31"/>
    </sheetView>
  </sheetViews>
  <sheetFormatPr defaultRowHeight="12.75"/>
  <cols>
    <col min="1" max="1" width="13.5703125" customWidth="1"/>
    <col min="2" max="8" width="10.7109375" customWidth="1"/>
    <col min="9" max="9" width="14.42578125" customWidth="1"/>
    <col min="10" max="11" width="10.7109375" customWidth="1"/>
  </cols>
  <sheetData>
    <row r="1" spans="1:14">
      <c r="A1" s="67" t="s">
        <v>96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4">
      <c r="A2" s="487" t="s">
        <v>100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34"/>
    </row>
    <row r="3" spans="1:14">
      <c r="A3" s="482" t="s">
        <v>147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2"/>
    </row>
    <row r="4" spans="1:14" ht="13.5" thickBot="1">
      <c r="A4" s="1"/>
      <c r="B4" s="2"/>
      <c r="C4" s="2"/>
      <c r="D4" s="1"/>
      <c r="E4" s="1"/>
      <c r="F4" s="1"/>
      <c r="G4" s="1"/>
      <c r="H4" s="1"/>
      <c r="I4" s="1"/>
      <c r="J4" s="1"/>
      <c r="K4" s="1"/>
      <c r="L4" s="2"/>
    </row>
    <row r="5" spans="1:14">
      <c r="A5" s="477" t="s">
        <v>0</v>
      </c>
      <c r="B5" s="497">
        <v>2019</v>
      </c>
      <c r="C5" s="492"/>
      <c r="D5" s="492"/>
      <c r="E5" s="492"/>
      <c r="F5" s="492"/>
      <c r="G5" s="491">
        <v>2020</v>
      </c>
      <c r="H5" s="492"/>
      <c r="I5" s="492"/>
      <c r="J5" s="492"/>
      <c r="K5" s="493"/>
      <c r="L5" s="8"/>
    </row>
    <row r="6" spans="1:14" ht="13.5" thickBot="1">
      <c r="A6" s="490"/>
      <c r="B6" s="498"/>
      <c r="C6" s="495"/>
      <c r="D6" s="495"/>
      <c r="E6" s="495"/>
      <c r="F6" s="495"/>
      <c r="G6" s="494"/>
      <c r="H6" s="495"/>
      <c r="I6" s="495"/>
      <c r="J6" s="495"/>
      <c r="K6" s="496"/>
      <c r="L6" s="10"/>
    </row>
    <row r="7" spans="1:14" ht="15.95" customHeight="1">
      <c r="A7" s="478"/>
      <c r="B7" s="110" t="s">
        <v>8</v>
      </c>
      <c r="C7" s="110" t="s">
        <v>10</v>
      </c>
      <c r="D7" s="110" t="s">
        <v>9</v>
      </c>
      <c r="E7" s="110" t="s">
        <v>10</v>
      </c>
      <c r="F7" s="253" t="s">
        <v>6</v>
      </c>
      <c r="G7" s="222" t="s">
        <v>8</v>
      </c>
      <c r="H7" s="26" t="s">
        <v>10</v>
      </c>
      <c r="I7" s="26" t="s">
        <v>9</v>
      </c>
      <c r="J7" s="26" t="s">
        <v>10</v>
      </c>
      <c r="K7" s="219" t="s">
        <v>6</v>
      </c>
      <c r="L7" s="9"/>
    </row>
    <row r="8" spans="1:14" ht="15.95" customHeight="1">
      <c r="A8" s="14" t="s">
        <v>19</v>
      </c>
      <c r="B8" s="201">
        <v>12298</v>
      </c>
      <c r="C8" s="207">
        <v>0.44684252597921664</v>
      </c>
      <c r="D8" s="201">
        <v>15224</v>
      </c>
      <c r="E8" s="207">
        <v>0.55315747402078341</v>
      </c>
      <c r="F8" s="273">
        <v>27522</v>
      </c>
      <c r="G8" s="14">
        <f>'κατά επαρχία και φύλο το 2020'!G7</f>
        <v>10644</v>
      </c>
      <c r="H8" s="85">
        <f>'κατά επαρχία και φύλο το 2020'!H7</f>
        <v>0.418034718403896</v>
      </c>
      <c r="I8" s="15">
        <f>'κατά επαρχία και φύλο το 2020'!N7</f>
        <v>14818</v>
      </c>
      <c r="J8" s="85">
        <f>'κατά επαρχία και φύλο το 2020'!O7</f>
        <v>0.58196528159610394</v>
      </c>
      <c r="K8" s="272">
        <f>G8+I8</f>
        <v>25462</v>
      </c>
      <c r="L8" s="13"/>
    </row>
    <row r="9" spans="1:14" ht="15.95" customHeight="1">
      <c r="A9" s="14" t="s">
        <v>20</v>
      </c>
      <c r="B9" s="201">
        <v>10879</v>
      </c>
      <c r="C9" s="207">
        <v>0.4261094355881086</v>
      </c>
      <c r="D9" s="201">
        <v>14652</v>
      </c>
      <c r="E9" s="207">
        <v>0.57389056441189146</v>
      </c>
      <c r="F9" s="273">
        <v>25531</v>
      </c>
      <c r="G9" s="14">
        <f>'κατά επαρχία και φύλο το 2020'!G8</f>
        <v>10383</v>
      </c>
      <c r="H9" s="85">
        <f>'κατά επαρχία και φύλο το 2020'!H8</f>
        <v>0.41475593193257171</v>
      </c>
      <c r="I9" s="15">
        <f>'κατά επαρχία και φύλο το 2020'!N8</f>
        <v>14651</v>
      </c>
      <c r="J9" s="85">
        <f>'κατά επαρχία και φύλο το 2020'!O8</f>
        <v>0.58524406806742835</v>
      </c>
      <c r="K9" s="272">
        <f t="shared" ref="K9:K13" si="0">G9+I9</f>
        <v>25034</v>
      </c>
      <c r="L9" s="13"/>
    </row>
    <row r="10" spans="1:14" ht="15.95" customHeight="1">
      <c r="A10" s="14" t="s">
        <v>21</v>
      </c>
      <c r="B10" s="201">
        <v>9760</v>
      </c>
      <c r="C10" s="207">
        <v>0.42390548992355803</v>
      </c>
      <c r="D10" s="201">
        <v>13264</v>
      </c>
      <c r="E10" s="207">
        <v>0.57609451007644197</v>
      </c>
      <c r="F10" s="273">
        <v>23024</v>
      </c>
      <c r="G10" s="14">
        <f>'κατά επαρχία και φύλο το 2020'!G9</f>
        <v>13829</v>
      </c>
      <c r="H10" s="85">
        <f>'κατά επαρχία και φύλο το 2020'!H9</f>
        <v>0.43576492831258862</v>
      </c>
      <c r="I10" s="15">
        <f>'κατά επαρχία και φύλο το 2020'!N9</f>
        <v>17906</v>
      </c>
      <c r="J10" s="85">
        <f>'κατά επαρχία και φύλο το 2020'!O9</f>
        <v>0.56423507168741138</v>
      </c>
      <c r="K10" s="272">
        <f t="shared" si="0"/>
        <v>31735</v>
      </c>
      <c r="L10" s="13"/>
    </row>
    <row r="11" spans="1:14" ht="15.95" customHeight="1">
      <c r="A11" s="14" t="s">
        <v>22</v>
      </c>
      <c r="B11" s="201">
        <v>8247</v>
      </c>
      <c r="C11" s="207">
        <v>0.43045044104598362</v>
      </c>
      <c r="D11" s="201">
        <v>10912</v>
      </c>
      <c r="E11" s="207">
        <v>0.56954955895401638</v>
      </c>
      <c r="F11" s="273">
        <v>19159</v>
      </c>
      <c r="G11" s="14">
        <f>'κατά επαρχία και φύλο το 2020'!G10</f>
        <v>8894</v>
      </c>
      <c r="H11" s="85">
        <f>'κατά επαρχία και φύλο το 2020'!H10</f>
        <v>0.42489967513854388</v>
      </c>
      <c r="I11" s="15">
        <f>'κατά επαρχία και φύλο το 2020'!N10</f>
        <v>12038</v>
      </c>
      <c r="J11" s="85">
        <f>'κατά επαρχία και φύλο το 2020'!O10</f>
        <v>0.57510032486145612</v>
      </c>
      <c r="K11" s="272">
        <f t="shared" si="0"/>
        <v>20932</v>
      </c>
      <c r="L11" s="13"/>
    </row>
    <row r="12" spans="1:14" ht="15.95" customHeight="1">
      <c r="A12" s="14" t="s">
        <v>23</v>
      </c>
      <c r="B12" s="201">
        <v>5051</v>
      </c>
      <c r="C12" s="207">
        <v>0.42102192214720346</v>
      </c>
      <c r="D12" s="201">
        <v>6946</v>
      </c>
      <c r="E12" s="207">
        <v>0.57897807785279654</v>
      </c>
      <c r="F12" s="273">
        <v>11997</v>
      </c>
      <c r="G12" s="14">
        <f>'κατά επαρχία και φύλο το 2020'!G11</f>
        <v>9836</v>
      </c>
      <c r="H12" s="85">
        <f>'κατά επαρχία και φύλο το 2020'!H11</f>
        <v>0.43159280386134269</v>
      </c>
      <c r="I12" s="15">
        <f>'κατά επαρχία και φύλο το 2020'!N11</f>
        <v>12954</v>
      </c>
      <c r="J12" s="85">
        <f>'κατά επαρχία και φύλο το 2020'!O11</f>
        <v>0.56840719613865731</v>
      </c>
      <c r="K12" s="272">
        <f t="shared" si="0"/>
        <v>22790</v>
      </c>
      <c r="L12" s="13"/>
    </row>
    <row r="13" spans="1:14" ht="15.95" customHeight="1" thickBot="1">
      <c r="A13" s="59" t="s">
        <v>24</v>
      </c>
      <c r="B13" s="202">
        <v>4228</v>
      </c>
      <c r="C13" s="208">
        <v>0.36426294477470494</v>
      </c>
      <c r="D13" s="202">
        <v>7379</v>
      </c>
      <c r="E13" s="208">
        <v>0.63573705522529511</v>
      </c>
      <c r="F13" s="274">
        <v>11607</v>
      </c>
      <c r="G13" s="14">
        <f>'κατά επαρχία και φύλο το 2020'!G12</f>
        <v>11349</v>
      </c>
      <c r="H13" s="85">
        <f>'κατά επαρχία και φύλο το 2020'!H12</f>
        <v>0.41296121097445598</v>
      </c>
      <c r="I13" s="15">
        <f>'κατά επαρχία και φύλο το 2020'!N12</f>
        <v>16133</v>
      </c>
      <c r="J13" s="85">
        <f>'κατά επαρχία και φύλο το 2020'!O12</f>
        <v>0.58703878902554396</v>
      </c>
      <c r="K13" s="272">
        <f t="shared" si="0"/>
        <v>27482</v>
      </c>
      <c r="L13" s="13"/>
    </row>
    <row r="14" spans="1:14" ht="15.95" customHeight="1">
      <c r="A14" s="488" t="s">
        <v>48</v>
      </c>
      <c r="B14" s="203"/>
      <c r="C14" s="204"/>
      <c r="D14" s="204"/>
      <c r="E14" s="276"/>
      <c r="F14" s="220"/>
      <c r="G14" s="223"/>
      <c r="H14" s="276"/>
      <c r="I14" s="276"/>
      <c r="J14" s="276"/>
      <c r="K14" s="291"/>
      <c r="L14" s="9"/>
    </row>
    <row r="15" spans="1:14" ht="22.5" customHeight="1" thickBot="1">
      <c r="A15" s="489"/>
      <c r="B15" s="180">
        <v>8410.5</v>
      </c>
      <c r="C15" s="209">
        <v>0.42462975429148431</v>
      </c>
      <c r="D15" s="180">
        <v>11396.166666666666</v>
      </c>
      <c r="E15" s="209">
        <v>0.57537024570851558</v>
      </c>
      <c r="F15" s="221">
        <v>19806.666666666668</v>
      </c>
      <c r="G15" s="224">
        <f>AVERAGE(G8:G13)</f>
        <v>10822.5</v>
      </c>
      <c r="H15" s="302">
        <f>G15/K15</f>
        <v>0.42320852478248117</v>
      </c>
      <c r="I15" s="140">
        <f t="shared" ref="I15:K15" si="1">AVERAGE(I8:I13)</f>
        <v>14750</v>
      </c>
      <c r="J15" s="209">
        <f>I15/K15</f>
        <v>0.57679147521751883</v>
      </c>
      <c r="K15" s="292">
        <f t="shared" si="1"/>
        <v>25572.5</v>
      </c>
      <c r="L15" s="13"/>
      <c r="N15" s="181"/>
    </row>
    <row r="16" spans="1:14" ht="15.95" customHeight="1">
      <c r="A16" s="58" t="s">
        <v>25</v>
      </c>
      <c r="B16" s="205">
        <v>4458</v>
      </c>
      <c r="C16" s="210">
        <v>0.3292466765140325</v>
      </c>
      <c r="D16" s="205">
        <v>9082</v>
      </c>
      <c r="E16" s="210">
        <v>0.6707533234859675</v>
      </c>
      <c r="F16" s="275">
        <v>13540</v>
      </c>
      <c r="G16" s="58">
        <f>'κατά επαρχία και φύλο το 2020'!G15</f>
        <v>11563</v>
      </c>
      <c r="H16" s="85">
        <f>'κατά επαρχία και φύλο το 2020'!H15</f>
        <v>0.38995683259139352</v>
      </c>
      <c r="I16" s="245">
        <f>'κατά επαρχία και φύλο το 2020'!N15</f>
        <v>18089</v>
      </c>
      <c r="J16" s="85">
        <f>'κατά επαρχία και φύλο το 2020'!O15</f>
        <v>0.61004316740860653</v>
      </c>
      <c r="K16" s="467">
        <f t="shared" ref="K16:K21" si="2">SUM(G16,I16)</f>
        <v>29652</v>
      </c>
      <c r="L16" s="13"/>
      <c r="N16" s="181"/>
    </row>
    <row r="17" spans="1:19" ht="15.95" customHeight="1">
      <c r="A17" s="14" t="s">
        <v>7</v>
      </c>
      <c r="B17" s="201">
        <v>4349</v>
      </c>
      <c r="C17" s="207">
        <v>0.32217201274168455</v>
      </c>
      <c r="D17" s="201">
        <v>9150</v>
      </c>
      <c r="E17" s="207">
        <v>0.67782798725831539</v>
      </c>
      <c r="F17" s="273">
        <v>13499</v>
      </c>
      <c r="G17" s="58">
        <f>'κατά επαρχία και φύλο το 2020'!G16</f>
        <v>11268</v>
      </c>
      <c r="H17" s="85">
        <f>'κατά επαρχία και φύλο το 2020'!H16</f>
        <v>0.38359148936170212</v>
      </c>
      <c r="I17" s="245">
        <f>'κατά επαρχία και φύλο το 2020'!N16</f>
        <v>18107</v>
      </c>
      <c r="J17" s="85">
        <f>'κατά επαρχία και φύλο το 2020'!O16</f>
        <v>0.61640851063829782</v>
      </c>
      <c r="K17" s="469">
        <f t="shared" si="2"/>
        <v>29375</v>
      </c>
      <c r="L17" s="13"/>
    </row>
    <row r="18" spans="1:19" ht="15.95" customHeight="1">
      <c r="A18" s="14" t="s">
        <v>26</v>
      </c>
      <c r="B18" s="201">
        <v>4519</v>
      </c>
      <c r="C18" s="207">
        <v>0.32760620559663622</v>
      </c>
      <c r="D18" s="201">
        <v>9275</v>
      </c>
      <c r="E18" s="207">
        <v>0.67239379440336378</v>
      </c>
      <c r="F18" s="273">
        <v>13794</v>
      </c>
      <c r="G18" s="58">
        <f>'κατά επαρχία και φύλο το 2020'!G17</f>
        <v>11120</v>
      </c>
      <c r="H18" s="85">
        <f>'κατά επαρχία και φύλο το 2020'!H17</f>
        <v>0.3909710990788271</v>
      </c>
      <c r="I18" s="245">
        <f>'κατά επαρχία και φύλο το 2020'!N17</f>
        <v>17322</v>
      </c>
      <c r="J18" s="85">
        <f>'κατά επαρχία και φύλο το 2020'!O17</f>
        <v>0.6090289009211729</v>
      </c>
      <c r="K18" s="469">
        <f t="shared" si="2"/>
        <v>28442</v>
      </c>
      <c r="L18" s="13"/>
    </row>
    <row r="19" spans="1:19" ht="15.95" customHeight="1">
      <c r="A19" s="14" t="s">
        <v>27</v>
      </c>
      <c r="B19" s="201">
        <v>4241</v>
      </c>
      <c r="C19" s="207">
        <v>0.4091654606849976</v>
      </c>
      <c r="D19" s="201">
        <v>6124</v>
      </c>
      <c r="E19" s="207">
        <v>0.5908345393150024</v>
      </c>
      <c r="F19" s="273">
        <v>10365</v>
      </c>
      <c r="G19" s="58">
        <f>'κατά επαρχία και φύλο το 2020'!G18</f>
        <v>11139</v>
      </c>
      <c r="H19" s="85">
        <f>'κατά επαρχία και φύλο το 2020'!H18</f>
        <v>0.4112608454864316</v>
      </c>
      <c r="I19" s="245">
        <f>'κατά επαρχία και φύλο το 2020'!N18</f>
        <v>15946</v>
      </c>
      <c r="J19" s="85">
        <f>'κατά επαρχία και φύλο το 2020'!O18</f>
        <v>0.5887391545135684</v>
      </c>
      <c r="K19" s="468">
        <f t="shared" si="2"/>
        <v>27085</v>
      </c>
      <c r="L19" s="13"/>
    </row>
    <row r="20" spans="1:19" ht="15.95" customHeight="1">
      <c r="A20" s="14" t="s">
        <v>28</v>
      </c>
      <c r="B20" s="201">
        <v>8335</v>
      </c>
      <c r="C20" s="207">
        <v>0.42108719814085077</v>
      </c>
      <c r="D20" s="201">
        <v>11459</v>
      </c>
      <c r="E20" s="207">
        <v>0.57891280185914928</v>
      </c>
      <c r="F20" s="273">
        <v>19794</v>
      </c>
      <c r="G20" s="58">
        <f>'κατά επαρχία και φύλο το 2020'!G19</f>
        <v>11514</v>
      </c>
      <c r="H20" s="85">
        <f>'κατά επαρχία και φύλο το 2020'!H19</f>
        <v>0.42329326127715894</v>
      </c>
      <c r="I20" s="245">
        <f>'κατά επαρχία και φύλο το 2020'!N19</f>
        <v>15687</v>
      </c>
      <c r="J20" s="85">
        <f>'κατά επαρχία και φύλο το 2020'!O19</f>
        <v>0.57670673872284106</v>
      </c>
      <c r="K20" s="469">
        <f t="shared" si="2"/>
        <v>27201</v>
      </c>
      <c r="L20" s="13"/>
    </row>
    <row r="21" spans="1:19" ht="15.95" customHeight="1" thickBot="1">
      <c r="A21" s="59" t="s">
        <v>29</v>
      </c>
      <c r="B21" s="202">
        <v>9914</v>
      </c>
      <c r="C21" s="208">
        <v>0.41886011238328613</v>
      </c>
      <c r="D21" s="202">
        <v>13755</v>
      </c>
      <c r="E21" s="208">
        <v>0.58113988761671387</v>
      </c>
      <c r="F21" s="274">
        <v>23669</v>
      </c>
      <c r="G21" s="58">
        <f>'κατά επαρχία και φύλο το 2020'!G20</f>
        <v>11138</v>
      </c>
      <c r="H21" s="85">
        <f>'κατά επαρχία και φύλο το 2020'!H20</f>
        <v>0.43093708891124349</v>
      </c>
      <c r="I21" s="245">
        <f>'κατά επαρχία και φύλο το 2020'!N20</f>
        <v>14708</v>
      </c>
      <c r="J21" s="85">
        <f>'κατά επαρχία και φύλο το 2020'!O20</f>
        <v>0.56906291108875651</v>
      </c>
      <c r="K21" s="238">
        <f t="shared" si="2"/>
        <v>25846</v>
      </c>
      <c r="L21" s="13"/>
    </row>
    <row r="22" spans="1:19" ht="15.95" customHeight="1">
      <c r="A22" s="488" t="s">
        <v>46</v>
      </c>
      <c r="B22" s="204"/>
      <c r="C22" s="204"/>
      <c r="D22" s="204"/>
      <c r="E22" s="204"/>
      <c r="F22" s="220"/>
      <c r="G22" s="225"/>
      <c r="H22" s="157"/>
      <c r="I22" s="139"/>
      <c r="J22" s="157"/>
      <c r="K22" s="295"/>
      <c r="L22" s="11"/>
    </row>
    <row r="23" spans="1:19" ht="32.25" customHeight="1" thickBot="1">
      <c r="A23" s="489"/>
      <c r="B23" s="180">
        <v>5969.333333333333</v>
      </c>
      <c r="C23" s="209">
        <v>0.37836067651936911</v>
      </c>
      <c r="D23" s="180">
        <v>9807.5</v>
      </c>
      <c r="E23" s="209">
        <v>0.62163932348063089</v>
      </c>
      <c r="F23" s="221">
        <v>15776.833333333334</v>
      </c>
      <c r="G23" s="224">
        <f>AVERAGE(G16:G21)</f>
        <v>11290.333333333334</v>
      </c>
      <c r="H23" s="315">
        <f>G23/K23</f>
        <v>0.4041861325409753</v>
      </c>
      <c r="I23" s="297">
        <f t="shared" ref="I23:K23" si="3">AVERAGE(I16:I21)</f>
        <v>16643.166666666668</v>
      </c>
      <c r="J23" s="317">
        <f>I23/K23</f>
        <v>0.59581386745902476</v>
      </c>
      <c r="K23" s="144">
        <f t="shared" si="3"/>
        <v>27933.5</v>
      </c>
      <c r="L23" s="13"/>
      <c r="O23" s="179"/>
      <c r="P23" s="179"/>
      <c r="Q23" s="179"/>
      <c r="R23" s="179"/>
      <c r="S23" s="179"/>
    </row>
    <row r="24" spans="1:19" ht="15.95" customHeight="1">
      <c r="A24" s="470" t="s">
        <v>47</v>
      </c>
      <c r="B24" s="204"/>
      <c r="C24" s="204"/>
      <c r="D24" s="204"/>
      <c r="E24" s="204"/>
      <c r="F24" s="220"/>
      <c r="G24" s="236"/>
      <c r="H24" s="156"/>
      <c r="I24" s="237"/>
      <c r="J24" s="316"/>
      <c r="K24" s="296"/>
      <c r="L24" s="11"/>
    </row>
    <row r="25" spans="1:19" ht="31.5" customHeight="1" thickBot="1">
      <c r="A25" s="471"/>
      <c r="B25" s="180">
        <v>7189.9166666666661</v>
      </c>
      <c r="C25" s="209">
        <v>0.40411520320747907</v>
      </c>
      <c r="D25" s="180">
        <v>10601.833333333332</v>
      </c>
      <c r="E25" s="209">
        <v>0.59588479679252082</v>
      </c>
      <c r="F25" s="221">
        <v>17791.75</v>
      </c>
      <c r="G25" s="224">
        <f>AVERAGE(G23,G15)</f>
        <v>11056.416666666668</v>
      </c>
      <c r="H25" s="315">
        <f>G25/K25</f>
        <v>0.4132776386448872</v>
      </c>
      <c r="I25" s="297">
        <f t="shared" ref="I25:K25" si="4">AVERAGE(I23,I15)</f>
        <v>15696.583333333334</v>
      </c>
      <c r="J25" s="317">
        <f>I25/K25</f>
        <v>0.5867223613551128</v>
      </c>
      <c r="K25" s="144">
        <f t="shared" si="4"/>
        <v>26753</v>
      </c>
      <c r="L25" s="13"/>
      <c r="N25" s="179"/>
    </row>
    <row r="26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1"/>
    </row>
    <row r="27" spans="1:19" ht="14.25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9">
      <c r="A28" s="1"/>
      <c r="B28" s="1"/>
      <c r="C28" s="1"/>
      <c r="D28" s="1"/>
      <c r="E28" s="1"/>
      <c r="F28" s="1"/>
      <c r="G28" s="1"/>
      <c r="H28" s="47"/>
      <c r="I28" s="486" t="s">
        <v>12</v>
      </c>
      <c r="J28" s="486"/>
      <c r="K28" s="1"/>
    </row>
    <row r="29" spans="1:19">
      <c r="A29" s="29">
        <f>'κατά επαρχία,  μήνα 2019,2020'!A29</f>
        <v>44243</v>
      </c>
      <c r="B29" s="1"/>
      <c r="C29" s="1"/>
      <c r="D29" s="1"/>
      <c r="E29" s="1"/>
      <c r="F29" s="1"/>
      <c r="G29" s="1"/>
      <c r="H29" s="486" t="s">
        <v>11</v>
      </c>
      <c r="I29" s="486"/>
      <c r="J29" s="486"/>
      <c r="K29" s="486"/>
    </row>
    <row r="30" spans="1:19">
      <c r="A30" s="4"/>
      <c r="B30" s="1"/>
      <c r="C30" s="1"/>
      <c r="D30" s="1"/>
      <c r="E30" s="1"/>
      <c r="F30" s="4"/>
      <c r="G30" s="4"/>
      <c r="H30" s="1"/>
      <c r="I30" s="23"/>
      <c r="J30" s="1"/>
      <c r="K30" s="1"/>
    </row>
    <row r="31" spans="1:19">
      <c r="A31" s="22"/>
      <c r="B31" s="1"/>
      <c r="C31" s="1"/>
      <c r="D31" s="1"/>
      <c r="E31" s="1"/>
      <c r="F31" s="1"/>
      <c r="G31" s="1"/>
      <c r="H31" s="23"/>
      <c r="I31" s="23"/>
      <c r="J31" s="4"/>
      <c r="K31" s="1"/>
    </row>
    <row r="32" spans="1:1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10">
    <mergeCell ref="H29:K29"/>
    <mergeCell ref="A2:K2"/>
    <mergeCell ref="A3:K3"/>
    <mergeCell ref="A14:A15"/>
    <mergeCell ref="A22:A23"/>
    <mergeCell ref="A24:A25"/>
    <mergeCell ref="A5:A7"/>
    <mergeCell ref="G5:K6"/>
    <mergeCell ref="B5:F6"/>
    <mergeCell ref="I28:J28"/>
  </mergeCells>
  <phoneticPr fontId="0" type="noConversion"/>
  <pageMargins left="0.78740157480314965" right="0.39370078740157483" top="0.78740157480314965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zoomScale="90" zoomScaleNormal="90" workbookViewId="0">
      <selection activeCell="AB23" sqref="AB23"/>
    </sheetView>
  </sheetViews>
  <sheetFormatPr defaultRowHeight="12.75"/>
  <cols>
    <col min="1" max="1" width="16.42578125" customWidth="1"/>
    <col min="2" max="2" width="5.5703125" bestFit="1" customWidth="1"/>
    <col min="3" max="9" width="6" bestFit="1" customWidth="1"/>
    <col min="10" max="10" width="6.7109375" bestFit="1" customWidth="1"/>
    <col min="11" max="11" width="6" bestFit="1" customWidth="1"/>
    <col min="12" max="23" width="6.7109375" bestFit="1" customWidth="1"/>
    <col min="24" max="25" width="6.7109375" style="166" bestFit="1" customWidth="1"/>
    <col min="26" max="27" width="6.7109375" bestFit="1" customWidth="1"/>
    <col min="28" max="28" width="11.140625" bestFit="1" customWidth="1"/>
  </cols>
  <sheetData>
    <row r="1" spans="1:28" ht="12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Z1" s="166"/>
      <c r="AA1" s="166"/>
      <c r="AB1" s="166"/>
    </row>
    <row r="2" spans="1:28" ht="19.5" customHeight="1">
      <c r="A2" s="66" t="s">
        <v>97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Z2" s="166"/>
      <c r="AA2" s="166"/>
      <c r="AB2" s="166"/>
    </row>
    <row r="3" spans="1:28" s="4" customFormat="1" ht="29.25" customHeight="1">
      <c r="A3" s="501" t="s">
        <v>129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</row>
    <row r="4" spans="1:28" ht="15.75" thickBot="1">
      <c r="A4" s="7"/>
      <c r="B4" s="7"/>
      <c r="C4" s="7"/>
      <c r="D4" s="7"/>
      <c r="E4" s="7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</row>
    <row r="5" spans="1:28" ht="25.5" customHeight="1">
      <c r="A5" s="86" t="s">
        <v>0</v>
      </c>
      <c r="B5" s="466">
        <v>1995</v>
      </c>
      <c r="C5" s="466">
        <v>1996</v>
      </c>
      <c r="D5" s="466">
        <v>1997</v>
      </c>
      <c r="E5" s="466">
        <v>1998</v>
      </c>
      <c r="F5" s="466">
        <v>1999</v>
      </c>
      <c r="G5" s="466">
        <v>2000</v>
      </c>
      <c r="H5" s="466">
        <v>2001</v>
      </c>
      <c r="I5" s="590">
        <v>2002</v>
      </c>
      <c r="J5" s="590">
        <v>2003</v>
      </c>
      <c r="K5" s="590">
        <v>2004</v>
      </c>
      <c r="L5" s="590">
        <v>2005</v>
      </c>
      <c r="M5" s="590">
        <v>2006</v>
      </c>
      <c r="N5" s="590">
        <v>2007</v>
      </c>
      <c r="O5" s="590">
        <v>2008</v>
      </c>
      <c r="P5" s="590">
        <v>2009</v>
      </c>
      <c r="Q5" s="590">
        <v>2010</v>
      </c>
      <c r="R5" s="590">
        <v>2011</v>
      </c>
      <c r="S5" s="590">
        <v>2012</v>
      </c>
      <c r="T5" s="590">
        <v>2013</v>
      </c>
      <c r="U5" s="590">
        <v>2014</v>
      </c>
      <c r="V5" s="590">
        <v>2015</v>
      </c>
      <c r="W5" s="590">
        <v>2016</v>
      </c>
      <c r="X5" s="590">
        <v>2017</v>
      </c>
      <c r="Y5" s="590">
        <v>2018</v>
      </c>
      <c r="Z5" s="591">
        <v>2019</v>
      </c>
      <c r="AA5" s="592">
        <v>2020</v>
      </c>
      <c r="AB5" s="593" t="s">
        <v>128</v>
      </c>
    </row>
    <row r="6" spans="1:28" ht="18" customHeight="1">
      <c r="A6" s="14" t="s">
        <v>19</v>
      </c>
      <c r="B6" s="15">
        <v>9930</v>
      </c>
      <c r="C6" s="15">
        <v>11018</v>
      </c>
      <c r="D6" s="15">
        <v>13246</v>
      </c>
      <c r="E6" s="15">
        <v>11830</v>
      </c>
      <c r="F6" s="15">
        <v>14649</v>
      </c>
      <c r="G6" s="15">
        <v>14167</v>
      </c>
      <c r="H6" s="15">
        <f>15282-717</f>
        <v>14565</v>
      </c>
      <c r="I6" s="15">
        <v>14545</v>
      </c>
      <c r="J6" s="201">
        <v>15305</v>
      </c>
      <c r="K6" s="201">
        <v>15193</v>
      </c>
      <c r="L6" s="25">
        <v>18220</v>
      </c>
      <c r="M6" s="25">
        <v>18391</v>
      </c>
      <c r="N6" s="25">
        <v>18001</v>
      </c>
      <c r="O6" s="25">
        <v>16578</v>
      </c>
      <c r="P6" s="25">
        <v>18238</v>
      </c>
      <c r="Q6" s="25">
        <v>24817</v>
      </c>
      <c r="R6" s="25">
        <v>26664</v>
      </c>
      <c r="S6" s="25">
        <v>32281</v>
      </c>
      <c r="T6" s="25">
        <v>36466</v>
      </c>
      <c r="U6" s="25">
        <v>38333</v>
      </c>
      <c r="V6" s="25">
        <v>31236</v>
      </c>
      <c r="W6" s="25">
        <v>28120</v>
      </c>
      <c r="X6" s="79">
        <v>27211</v>
      </c>
      <c r="Y6" s="79">
        <v>25934</v>
      </c>
      <c r="Z6" s="25">
        <v>27522</v>
      </c>
      <c r="AA6" s="594">
        <f>'κατά φύλο, μήνα 2019,2020'!K8</f>
        <v>25462</v>
      </c>
      <c r="AB6" s="595">
        <f t="shared" ref="AB6:AB19" si="0">(AA6/Z6)-1</f>
        <v>-7.4849211539859017E-2</v>
      </c>
    </row>
    <row r="7" spans="1:28" ht="18" customHeight="1">
      <c r="A7" s="14" t="s">
        <v>20</v>
      </c>
      <c r="B7" s="15">
        <v>9756</v>
      </c>
      <c r="C7" s="15">
        <v>11053</v>
      </c>
      <c r="D7" s="15">
        <v>12655</v>
      </c>
      <c r="E7" s="15">
        <v>12110</v>
      </c>
      <c r="F7" s="15">
        <v>14815</v>
      </c>
      <c r="G7" s="15">
        <f>15542-1303</f>
        <v>14239</v>
      </c>
      <c r="H7" s="15">
        <v>14236</v>
      </c>
      <c r="I7" s="15">
        <v>14539</v>
      </c>
      <c r="J7" s="15">
        <v>15608</v>
      </c>
      <c r="K7" s="15">
        <v>15554</v>
      </c>
      <c r="L7" s="25">
        <v>17868</v>
      </c>
      <c r="M7" s="25">
        <v>17832</v>
      </c>
      <c r="N7" s="25">
        <v>17372</v>
      </c>
      <c r="O7" s="25">
        <v>15781</v>
      </c>
      <c r="P7" s="25">
        <v>18809</v>
      </c>
      <c r="Q7" s="25">
        <v>24511</v>
      </c>
      <c r="R7" s="25">
        <v>26506</v>
      </c>
      <c r="S7" s="25">
        <v>32291</v>
      </c>
      <c r="T7" s="25">
        <v>36211</v>
      </c>
      <c r="U7" s="25">
        <v>36901</v>
      </c>
      <c r="V7" s="25">
        <v>30900</v>
      </c>
      <c r="W7" s="25">
        <v>28003</v>
      </c>
      <c r="X7" s="79">
        <v>26432</v>
      </c>
      <c r="Y7" s="79">
        <v>23665</v>
      </c>
      <c r="Z7" s="25">
        <v>25531</v>
      </c>
      <c r="AA7" s="594">
        <f>'κατά φύλο, μήνα 2019,2020'!K9</f>
        <v>25034</v>
      </c>
      <c r="AB7" s="595">
        <f t="shared" si="0"/>
        <v>-1.9466530884023392E-2</v>
      </c>
    </row>
    <row r="8" spans="1:28" ht="18" customHeight="1">
      <c r="A8" s="14" t="s">
        <v>21</v>
      </c>
      <c r="B8" s="15">
        <v>8180</v>
      </c>
      <c r="C8" s="15">
        <v>9737</v>
      </c>
      <c r="D8" s="15">
        <v>11429</v>
      </c>
      <c r="E8" s="15">
        <v>12131</v>
      </c>
      <c r="F8" s="15">
        <v>14042</v>
      </c>
      <c r="G8" s="15">
        <v>13613</v>
      </c>
      <c r="H8" s="15">
        <f>13932-661</f>
        <v>13271</v>
      </c>
      <c r="I8" s="15">
        <v>13023</v>
      </c>
      <c r="J8" s="15">
        <v>14691</v>
      </c>
      <c r="K8" s="15">
        <v>14131</v>
      </c>
      <c r="L8" s="25">
        <v>16725</v>
      </c>
      <c r="M8" s="25">
        <v>16958</v>
      </c>
      <c r="N8" s="25">
        <v>16224</v>
      </c>
      <c r="O8" s="25">
        <v>14766</v>
      </c>
      <c r="P8" s="25">
        <v>18544</v>
      </c>
      <c r="Q8" s="25">
        <v>24127</v>
      </c>
      <c r="R8" s="25">
        <v>25390</v>
      </c>
      <c r="S8" s="25">
        <v>31796</v>
      </c>
      <c r="T8" s="25">
        <v>35234</v>
      </c>
      <c r="U8" s="25">
        <v>35016</v>
      </c>
      <c r="V8" s="25">
        <v>30314</v>
      </c>
      <c r="W8" s="25">
        <v>25337</v>
      </c>
      <c r="X8" s="79">
        <v>24440</v>
      </c>
      <c r="Y8" s="79">
        <v>21161</v>
      </c>
      <c r="Z8" s="25">
        <v>23024</v>
      </c>
      <c r="AA8" s="594">
        <f>'κατά φύλο, μήνα 2019,2020'!K10</f>
        <v>31735</v>
      </c>
      <c r="AB8" s="595">
        <f t="shared" si="0"/>
        <v>0.3783443363446839</v>
      </c>
    </row>
    <row r="9" spans="1:28" ht="18" customHeight="1">
      <c r="A9" s="14" t="s">
        <v>22</v>
      </c>
      <c r="B9" s="15">
        <v>4784</v>
      </c>
      <c r="C9" s="15">
        <v>6373</v>
      </c>
      <c r="D9" s="15">
        <v>7704</v>
      </c>
      <c r="E9" s="15">
        <v>7688</v>
      </c>
      <c r="F9" s="15">
        <v>8442</v>
      </c>
      <c r="G9" s="15">
        <f>9893-687</f>
        <v>9206</v>
      </c>
      <c r="H9" s="15">
        <f>9015-407</f>
        <v>8608</v>
      </c>
      <c r="I9" s="15">
        <v>7645</v>
      </c>
      <c r="J9" s="596" t="s">
        <v>18</v>
      </c>
      <c r="K9" s="15">
        <v>8906</v>
      </c>
      <c r="L9" s="25">
        <v>11089</v>
      </c>
      <c r="M9" s="25">
        <v>12239</v>
      </c>
      <c r="N9" s="25">
        <v>11566</v>
      </c>
      <c r="O9" s="25">
        <v>10318</v>
      </c>
      <c r="P9" s="25">
        <v>14862</v>
      </c>
      <c r="Q9" s="25">
        <v>18931</v>
      </c>
      <c r="R9" s="25">
        <v>21153</v>
      </c>
      <c r="S9" s="25">
        <v>27901</v>
      </c>
      <c r="T9" s="25">
        <v>31887</v>
      </c>
      <c r="U9" s="25">
        <v>28218</v>
      </c>
      <c r="V9" s="25">
        <v>22988</v>
      </c>
      <c r="W9" s="25">
        <v>18731</v>
      </c>
      <c r="X9" s="79">
        <v>18087</v>
      </c>
      <c r="Y9" s="79">
        <v>16839</v>
      </c>
      <c r="Z9" s="25">
        <v>19159</v>
      </c>
      <c r="AA9" s="594">
        <f>'κατά φύλο, μήνα 2019,2020'!K11</f>
        <v>20932</v>
      </c>
      <c r="AB9" s="595">
        <f t="shared" si="0"/>
        <v>9.2541364371835799E-2</v>
      </c>
    </row>
    <row r="10" spans="1:28" ht="18" customHeight="1">
      <c r="A10" s="14" t="s">
        <v>23</v>
      </c>
      <c r="B10" s="15">
        <v>4863</v>
      </c>
      <c r="C10" s="15">
        <v>6134</v>
      </c>
      <c r="D10" s="15">
        <v>7510</v>
      </c>
      <c r="E10" s="15">
        <v>7129</v>
      </c>
      <c r="F10" s="15">
        <v>7827</v>
      </c>
      <c r="G10" s="15">
        <v>8703</v>
      </c>
      <c r="H10" s="15">
        <f>8652-291</f>
        <v>8361</v>
      </c>
      <c r="I10" s="15">
        <v>6862</v>
      </c>
      <c r="J10" s="15">
        <v>8573</v>
      </c>
      <c r="K10" s="15">
        <v>7739</v>
      </c>
      <c r="L10" s="25">
        <v>10521</v>
      </c>
      <c r="M10" s="25">
        <v>10922</v>
      </c>
      <c r="N10" s="25">
        <v>9409</v>
      </c>
      <c r="O10" s="25">
        <v>8802</v>
      </c>
      <c r="P10" s="25">
        <v>13253</v>
      </c>
      <c r="Q10" s="25">
        <v>16873</v>
      </c>
      <c r="R10" s="25">
        <v>18627</v>
      </c>
      <c r="S10" s="25">
        <v>24512</v>
      </c>
      <c r="T10" s="25">
        <v>27981</v>
      </c>
      <c r="U10" s="25">
        <v>23335</v>
      </c>
      <c r="V10" s="25">
        <v>17637</v>
      </c>
      <c r="W10" s="25">
        <v>14730</v>
      </c>
      <c r="X10" s="79">
        <v>13485</v>
      </c>
      <c r="Y10" s="79">
        <v>10300</v>
      </c>
      <c r="Z10" s="25">
        <v>11997</v>
      </c>
      <c r="AA10" s="594">
        <f>'κατά φύλο, μήνα 2019,2020'!K12</f>
        <v>22790</v>
      </c>
      <c r="AB10" s="595">
        <f t="shared" si="0"/>
        <v>0.89964157706093184</v>
      </c>
    </row>
    <row r="11" spans="1:28" ht="18" customHeight="1" thickBot="1">
      <c r="A11" s="59" t="s">
        <v>24</v>
      </c>
      <c r="B11" s="252">
        <v>5189</v>
      </c>
      <c r="C11" s="252">
        <v>6841</v>
      </c>
      <c r="D11" s="252">
        <v>7867</v>
      </c>
      <c r="E11" s="252">
        <v>7712</v>
      </c>
      <c r="F11" s="252">
        <v>8201</v>
      </c>
      <c r="G11" s="252">
        <v>8720</v>
      </c>
      <c r="H11" s="252">
        <f>8952-233</f>
        <v>8719</v>
      </c>
      <c r="I11" s="252">
        <v>7303</v>
      </c>
      <c r="J11" s="252">
        <v>8243</v>
      </c>
      <c r="K11" s="252">
        <v>8029</v>
      </c>
      <c r="L11" s="18">
        <v>10762</v>
      </c>
      <c r="M11" s="18">
        <v>10769</v>
      </c>
      <c r="N11" s="18">
        <v>9820</v>
      </c>
      <c r="O11" s="18">
        <v>9044</v>
      </c>
      <c r="P11" s="18">
        <v>14394</v>
      </c>
      <c r="Q11" s="18">
        <v>17593</v>
      </c>
      <c r="R11" s="18">
        <v>19276</v>
      </c>
      <c r="S11" s="18">
        <v>24090</v>
      </c>
      <c r="T11" s="18">
        <v>28290</v>
      </c>
      <c r="U11" s="18">
        <v>22958</v>
      </c>
      <c r="V11" s="18">
        <v>17842</v>
      </c>
      <c r="W11" s="18">
        <v>13962</v>
      </c>
      <c r="X11" s="82">
        <v>12294</v>
      </c>
      <c r="Y11" s="82">
        <v>10849</v>
      </c>
      <c r="Z11" s="25">
        <v>11607</v>
      </c>
      <c r="AA11" s="594">
        <f>'κατά φύλο, μήνα 2019,2020'!K13</f>
        <v>27482</v>
      </c>
      <c r="AB11" s="597">
        <f t="shared" si="0"/>
        <v>1.3677091410355819</v>
      </c>
    </row>
    <row r="12" spans="1:28" ht="38.25" customHeight="1" thickBot="1">
      <c r="A12" s="87" t="s">
        <v>44</v>
      </c>
      <c r="B12" s="598">
        <f t="shared" ref="B12:L12" si="1">AVERAGE(B6:B11)</f>
        <v>7117</v>
      </c>
      <c r="C12" s="598">
        <f t="shared" si="1"/>
        <v>8526</v>
      </c>
      <c r="D12" s="598">
        <f t="shared" si="1"/>
        <v>10068.5</v>
      </c>
      <c r="E12" s="598">
        <f t="shared" si="1"/>
        <v>9766.6666666666661</v>
      </c>
      <c r="F12" s="598">
        <f t="shared" si="1"/>
        <v>11329.333333333334</v>
      </c>
      <c r="G12" s="598">
        <f t="shared" si="1"/>
        <v>11441.333333333334</v>
      </c>
      <c r="H12" s="598">
        <f t="shared" si="1"/>
        <v>11293.333333333334</v>
      </c>
      <c r="I12" s="598">
        <f t="shared" si="1"/>
        <v>10652.833333333334</v>
      </c>
      <c r="J12" s="598">
        <f t="shared" si="1"/>
        <v>12484</v>
      </c>
      <c r="K12" s="598">
        <f t="shared" si="1"/>
        <v>11592</v>
      </c>
      <c r="L12" s="65">
        <f t="shared" si="1"/>
        <v>14197.5</v>
      </c>
      <c r="M12" s="65">
        <f t="shared" ref="M12:U12" si="2">AVERAGE(M6:M11)</f>
        <v>14518.5</v>
      </c>
      <c r="N12" s="65">
        <f t="shared" si="2"/>
        <v>13732</v>
      </c>
      <c r="O12" s="65">
        <f t="shared" si="2"/>
        <v>12548.166666666666</v>
      </c>
      <c r="P12" s="65">
        <f t="shared" si="2"/>
        <v>16350</v>
      </c>
      <c r="Q12" s="65">
        <f t="shared" si="2"/>
        <v>21142</v>
      </c>
      <c r="R12" s="65">
        <f t="shared" si="2"/>
        <v>22936</v>
      </c>
      <c r="S12" s="65">
        <f t="shared" si="2"/>
        <v>28811.833333333332</v>
      </c>
      <c r="T12" s="65">
        <f t="shared" si="2"/>
        <v>32678.166666666668</v>
      </c>
      <c r="U12" s="65">
        <f t="shared" si="2"/>
        <v>30793.5</v>
      </c>
      <c r="V12" s="65">
        <v>25152.833333333332</v>
      </c>
      <c r="W12" s="65">
        <v>21480.5</v>
      </c>
      <c r="X12" s="119">
        <v>20324.833333333332</v>
      </c>
      <c r="Y12" s="119">
        <v>18124.666666666668</v>
      </c>
      <c r="Z12" s="65">
        <v>19806.666666666668</v>
      </c>
      <c r="AA12" s="599">
        <f>AVERAGE(AA6:AA11)</f>
        <v>25572.5</v>
      </c>
      <c r="AB12" s="600">
        <f t="shared" si="0"/>
        <v>0.29110568832043082</v>
      </c>
    </row>
    <row r="13" spans="1:28" ht="18" customHeight="1">
      <c r="A13" s="58" t="s">
        <v>25</v>
      </c>
      <c r="B13" s="12">
        <v>6680</v>
      </c>
      <c r="C13" s="12">
        <v>7962</v>
      </c>
      <c r="D13" s="12">
        <v>8980</v>
      </c>
      <c r="E13" s="12">
        <v>8604</v>
      </c>
      <c r="F13" s="12">
        <v>9632</v>
      </c>
      <c r="G13" s="12">
        <f>10233-352</f>
        <v>9881</v>
      </c>
      <c r="H13" s="12">
        <f>296+9999-310</f>
        <v>9985</v>
      </c>
      <c r="I13" s="12">
        <v>8758</v>
      </c>
      <c r="J13" s="12">
        <v>9772</v>
      </c>
      <c r="K13" s="12">
        <v>9509</v>
      </c>
      <c r="L13" s="26">
        <v>11705</v>
      </c>
      <c r="M13" s="26">
        <v>11835</v>
      </c>
      <c r="N13" s="26">
        <v>10821</v>
      </c>
      <c r="O13" s="26">
        <v>10313</v>
      </c>
      <c r="P13" s="26">
        <v>15817</v>
      </c>
      <c r="Q13" s="26">
        <v>18443</v>
      </c>
      <c r="R13" s="26">
        <v>20024</v>
      </c>
      <c r="S13" s="26">
        <v>25399</v>
      </c>
      <c r="T13" s="26">
        <v>29528</v>
      </c>
      <c r="U13" s="26">
        <v>22590</v>
      </c>
      <c r="V13" s="26">
        <v>18253</v>
      </c>
      <c r="W13" s="26">
        <v>15082</v>
      </c>
      <c r="X13" s="110">
        <v>13960</v>
      </c>
      <c r="Y13" s="110">
        <v>12888</v>
      </c>
      <c r="Z13" s="110">
        <v>13540</v>
      </c>
      <c r="AA13" s="601">
        <f>'κατά φύλο, μήνα 2019,2020'!K16</f>
        <v>29652</v>
      </c>
      <c r="AB13" s="602">
        <f t="shared" si="0"/>
        <v>1.1899556868537666</v>
      </c>
    </row>
    <row r="14" spans="1:28" ht="18" customHeight="1">
      <c r="A14" s="14" t="s">
        <v>7</v>
      </c>
      <c r="B14" s="15">
        <v>6621</v>
      </c>
      <c r="C14" s="15">
        <v>7849</v>
      </c>
      <c r="D14" s="15">
        <v>8752</v>
      </c>
      <c r="E14" s="15">
        <v>8486</v>
      </c>
      <c r="F14" s="15">
        <v>9969</v>
      </c>
      <c r="G14" s="15">
        <v>10059</v>
      </c>
      <c r="H14" s="15">
        <f>10342-300</f>
        <v>10042</v>
      </c>
      <c r="I14" s="15">
        <v>8633</v>
      </c>
      <c r="J14" s="15">
        <v>9178</v>
      </c>
      <c r="K14" s="15">
        <v>9132</v>
      </c>
      <c r="L14" s="25">
        <v>11668</v>
      </c>
      <c r="M14" s="25">
        <v>11752</v>
      </c>
      <c r="N14" s="25">
        <v>10761</v>
      </c>
      <c r="O14" s="25">
        <v>10335</v>
      </c>
      <c r="P14" s="25">
        <v>15904</v>
      </c>
      <c r="Q14" s="25">
        <v>17925</v>
      </c>
      <c r="R14" s="25">
        <v>20501</v>
      </c>
      <c r="S14" s="25">
        <v>24866</v>
      </c>
      <c r="T14" s="25">
        <v>30345</v>
      </c>
      <c r="U14" s="25">
        <v>21432</v>
      </c>
      <c r="V14" s="26">
        <v>17759</v>
      </c>
      <c r="W14" s="26">
        <v>15419</v>
      </c>
      <c r="X14" s="110">
        <v>13935</v>
      </c>
      <c r="Y14" s="110">
        <v>12954</v>
      </c>
      <c r="Z14" s="110">
        <v>13499</v>
      </c>
      <c r="AA14" s="601">
        <f>'κατά φύλο, μήνα 2019,2020'!K17</f>
        <v>29375</v>
      </c>
      <c r="AB14" s="595">
        <f t="shared" si="0"/>
        <v>1.176087117564264</v>
      </c>
    </row>
    <row r="15" spans="1:28" ht="18" customHeight="1">
      <c r="A15" s="14" t="s">
        <v>26</v>
      </c>
      <c r="B15" s="15">
        <v>6233</v>
      </c>
      <c r="C15" s="15">
        <v>7440</v>
      </c>
      <c r="D15" s="15">
        <v>8025</v>
      </c>
      <c r="E15" s="15">
        <v>8409</v>
      </c>
      <c r="F15" s="15">
        <v>9418</v>
      </c>
      <c r="G15" s="15">
        <v>9135</v>
      </c>
      <c r="H15" s="15">
        <f>9554-295</f>
        <v>9259</v>
      </c>
      <c r="I15" s="15">
        <v>7951</v>
      </c>
      <c r="J15" s="15">
        <v>8299</v>
      </c>
      <c r="K15" s="15">
        <v>8609</v>
      </c>
      <c r="L15" s="25">
        <v>11135</v>
      </c>
      <c r="M15" s="25">
        <v>11508</v>
      </c>
      <c r="N15" s="25">
        <v>10617</v>
      </c>
      <c r="O15" s="25">
        <v>9697</v>
      </c>
      <c r="P15" s="25">
        <v>15896</v>
      </c>
      <c r="Q15" s="25">
        <v>17103</v>
      </c>
      <c r="R15" s="25">
        <v>20171</v>
      </c>
      <c r="S15" s="25">
        <v>24913</v>
      </c>
      <c r="T15" s="25">
        <v>29550</v>
      </c>
      <c r="U15" s="25">
        <v>21500</v>
      </c>
      <c r="V15" s="26">
        <v>16132</v>
      </c>
      <c r="W15" s="26">
        <v>13770</v>
      </c>
      <c r="X15" s="110">
        <v>12040</v>
      </c>
      <c r="Y15" s="110">
        <v>12894</v>
      </c>
      <c r="Z15" s="110">
        <v>13794</v>
      </c>
      <c r="AA15" s="601">
        <f>'κατά φύλο, μήνα 2019,2020'!K18</f>
        <v>28442</v>
      </c>
      <c r="AB15" s="595">
        <f t="shared" si="0"/>
        <v>1.0619109757865739</v>
      </c>
    </row>
    <row r="16" spans="1:28" ht="18" customHeight="1">
      <c r="A16" s="14" t="s">
        <v>27</v>
      </c>
      <c r="B16" s="15">
        <v>6119</v>
      </c>
      <c r="C16" s="15">
        <v>7280</v>
      </c>
      <c r="D16" s="15">
        <v>7475</v>
      </c>
      <c r="E16" s="15">
        <v>7732</v>
      </c>
      <c r="F16" s="15">
        <v>7380</v>
      </c>
      <c r="G16" s="15">
        <f>8844-329</f>
        <v>8515</v>
      </c>
      <c r="H16" s="15">
        <f>9483-298</f>
        <v>9185</v>
      </c>
      <c r="I16" s="15">
        <v>7450</v>
      </c>
      <c r="J16" s="15">
        <v>7894</v>
      </c>
      <c r="K16" s="15">
        <v>8105</v>
      </c>
      <c r="L16" s="25">
        <v>9847</v>
      </c>
      <c r="M16" s="25">
        <v>9396</v>
      </c>
      <c r="N16" s="25">
        <v>8345</v>
      </c>
      <c r="O16" s="25">
        <v>8194</v>
      </c>
      <c r="P16" s="25">
        <v>14225</v>
      </c>
      <c r="Q16" s="25">
        <v>15052</v>
      </c>
      <c r="R16" s="25">
        <v>18540</v>
      </c>
      <c r="S16" s="25">
        <v>22957</v>
      </c>
      <c r="T16" s="25">
        <v>27093</v>
      </c>
      <c r="U16" s="25">
        <v>17937</v>
      </c>
      <c r="V16" s="26">
        <v>14132</v>
      </c>
      <c r="W16" s="26">
        <v>12341</v>
      </c>
      <c r="X16" s="110">
        <v>10316</v>
      </c>
      <c r="Y16" s="110">
        <v>10574</v>
      </c>
      <c r="Z16" s="110">
        <v>10365</v>
      </c>
      <c r="AA16" s="601">
        <f>'κατά φύλο, μήνα 2019,2020'!K19</f>
        <v>27085</v>
      </c>
      <c r="AB16" s="595">
        <f t="shared" si="0"/>
        <v>1.6131210805595755</v>
      </c>
    </row>
    <row r="17" spans="1:28" ht="18" customHeight="1">
      <c r="A17" s="14" t="s">
        <v>28</v>
      </c>
      <c r="B17" s="15">
        <v>6416</v>
      </c>
      <c r="C17" s="15">
        <v>8908</v>
      </c>
      <c r="D17" s="15">
        <v>8589</v>
      </c>
      <c r="E17" s="15">
        <v>9186</v>
      </c>
      <c r="F17" s="15">
        <f>10259-1134</f>
        <v>9125</v>
      </c>
      <c r="G17" s="15">
        <v>9905</v>
      </c>
      <c r="H17" s="15">
        <v>12316</v>
      </c>
      <c r="I17" s="15">
        <v>10392</v>
      </c>
      <c r="J17" s="15">
        <v>10560</v>
      </c>
      <c r="K17" s="15">
        <v>10575</v>
      </c>
      <c r="L17" s="25">
        <v>13614</v>
      </c>
      <c r="M17" s="25">
        <v>12990</v>
      </c>
      <c r="N17" s="25">
        <v>12052</v>
      </c>
      <c r="O17" s="25">
        <v>11853</v>
      </c>
      <c r="P17" s="25">
        <v>19333</v>
      </c>
      <c r="Q17" s="25">
        <v>20238</v>
      </c>
      <c r="R17" s="25">
        <v>24943</v>
      </c>
      <c r="S17" s="25">
        <v>29393</v>
      </c>
      <c r="T17" s="25">
        <v>32643</v>
      </c>
      <c r="U17" s="25">
        <v>25814</v>
      </c>
      <c r="V17" s="26">
        <v>23214</v>
      </c>
      <c r="W17" s="26">
        <v>20992</v>
      </c>
      <c r="X17" s="110">
        <v>19067</v>
      </c>
      <c r="Y17" s="110">
        <v>20250</v>
      </c>
      <c r="Z17" s="110">
        <v>19794</v>
      </c>
      <c r="AA17" s="601">
        <f>'κατά φύλο, μήνα 2019,2020'!K20</f>
        <v>27201</v>
      </c>
      <c r="AB17" s="595">
        <f t="shared" si="0"/>
        <v>0.3742043043346468</v>
      </c>
    </row>
    <row r="18" spans="1:28" ht="18" customHeight="1" thickBot="1">
      <c r="A18" s="59" t="s">
        <v>29</v>
      </c>
      <c r="B18" s="252">
        <v>8226</v>
      </c>
      <c r="C18" s="252">
        <v>11214</v>
      </c>
      <c r="D18" s="252">
        <v>9915</v>
      </c>
      <c r="E18" s="252">
        <v>12477</v>
      </c>
      <c r="F18" s="252">
        <f>12981-1262</f>
        <v>11719</v>
      </c>
      <c r="G18" s="252">
        <v>13133</v>
      </c>
      <c r="H18" s="252">
        <f>16077-775</f>
        <v>15302</v>
      </c>
      <c r="I18" s="252">
        <v>13658</v>
      </c>
      <c r="J18" s="252">
        <v>13824</v>
      </c>
      <c r="K18" s="252">
        <v>14111</v>
      </c>
      <c r="L18" s="18">
        <v>16294</v>
      </c>
      <c r="M18" s="18">
        <v>15903</v>
      </c>
      <c r="N18" s="18">
        <v>15648</v>
      </c>
      <c r="O18" s="18">
        <v>15669</v>
      </c>
      <c r="P18" s="18">
        <v>22938</v>
      </c>
      <c r="Q18" s="18">
        <v>24154</v>
      </c>
      <c r="R18" s="18">
        <v>29034</v>
      </c>
      <c r="S18" s="18">
        <v>33374</v>
      </c>
      <c r="T18" s="18">
        <v>36716</v>
      </c>
      <c r="U18" s="18">
        <v>29637</v>
      </c>
      <c r="V18" s="603">
        <v>26943</v>
      </c>
      <c r="W18" s="603">
        <v>25357</v>
      </c>
      <c r="X18" s="259">
        <v>23666</v>
      </c>
      <c r="Y18" s="259">
        <v>24604</v>
      </c>
      <c r="Z18" s="110">
        <v>23669</v>
      </c>
      <c r="AA18" s="601">
        <f>'κατά φύλο, μήνα 2019,2020'!K21</f>
        <v>25846</v>
      </c>
      <c r="AB18" s="597">
        <f t="shared" si="0"/>
        <v>9.1976847353077762E-2</v>
      </c>
    </row>
    <row r="19" spans="1:28" ht="39.75" customHeight="1" thickBot="1">
      <c r="A19" s="87" t="s">
        <v>42</v>
      </c>
      <c r="B19" s="598">
        <f t="shared" ref="B19:L19" si="3">AVERAGE(B13:B18)</f>
        <v>6715.833333333333</v>
      </c>
      <c r="C19" s="598">
        <f t="shared" si="3"/>
        <v>8442.1666666666661</v>
      </c>
      <c r="D19" s="598">
        <f t="shared" si="3"/>
        <v>8622.6666666666661</v>
      </c>
      <c r="E19" s="598">
        <f t="shared" si="3"/>
        <v>9149</v>
      </c>
      <c r="F19" s="598">
        <f t="shared" si="3"/>
        <v>9540.5</v>
      </c>
      <c r="G19" s="598">
        <f t="shared" si="3"/>
        <v>10104.666666666666</v>
      </c>
      <c r="H19" s="598">
        <f t="shared" si="3"/>
        <v>11014.833333333334</v>
      </c>
      <c r="I19" s="598">
        <f t="shared" si="3"/>
        <v>9473.6666666666661</v>
      </c>
      <c r="J19" s="598">
        <f t="shared" si="3"/>
        <v>9921.1666666666661</v>
      </c>
      <c r="K19" s="598">
        <f t="shared" si="3"/>
        <v>10006.833333333334</v>
      </c>
      <c r="L19" s="65">
        <f t="shared" si="3"/>
        <v>12377.166666666666</v>
      </c>
      <c r="M19" s="65">
        <f t="shared" ref="M19:S19" si="4">AVERAGE(M13:M18)</f>
        <v>12230.666666666666</v>
      </c>
      <c r="N19" s="65">
        <f t="shared" si="4"/>
        <v>11374</v>
      </c>
      <c r="O19" s="65">
        <f t="shared" si="4"/>
        <v>11010.166666666666</v>
      </c>
      <c r="P19" s="65">
        <f t="shared" si="4"/>
        <v>17352.166666666668</v>
      </c>
      <c r="Q19" s="65">
        <f t="shared" si="4"/>
        <v>18819.166666666668</v>
      </c>
      <c r="R19" s="65">
        <f t="shared" si="4"/>
        <v>22202.166666666668</v>
      </c>
      <c r="S19" s="65">
        <f t="shared" si="4"/>
        <v>26817</v>
      </c>
      <c r="T19" s="604">
        <f>AVERAGE(T13:T18)</f>
        <v>30979.166666666668</v>
      </c>
      <c r="U19" s="604">
        <f>AVERAGE(U13:U18)</f>
        <v>23151.666666666668</v>
      </c>
      <c r="V19" s="604">
        <v>19405.5</v>
      </c>
      <c r="W19" s="604">
        <v>17160.166666666668</v>
      </c>
      <c r="X19" s="605">
        <v>15497.333333333334</v>
      </c>
      <c r="Y19" s="605">
        <v>15694</v>
      </c>
      <c r="Z19" s="604">
        <v>15776.833333333334</v>
      </c>
      <c r="AA19" s="606">
        <f>AVERAGE(AA13:AA18)</f>
        <v>27933.5</v>
      </c>
      <c r="AB19" s="600">
        <f t="shared" si="0"/>
        <v>0.77053908156474149</v>
      </c>
    </row>
    <row r="20" spans="1:28" ht="27.75" customHeight="1" thickBot="1">
      <c r="A20" s="87" t="s">
        <v>45</v>
      </c>
      <c r="B20" s="598">
        <f t="shared" ref="B20:L20" si="5">AVERAGE(B6:B11,B13:B18)</f>
        <v>6916.416666666667</v>
      </c>
      <c r="C20" s="598">
        <f t="shared" si="5"/>
        <v>8484.0833333333339</v>
      </c>
      <c r="D20" s="598">
        <f t="shared" si="5"/>
        <v>9345.5833333333339</v>
      </c>
      <c r="E20" s="598">
        <f t="shared" si="5"/>
        <v>9457.8333333333339</v>
      </c>
      <c r="F20" s="598">
        <f t="shared" si="5"/>
        <v>10434.916666666666</v>
      </c>
      <c r="G20" s="598">
        <f t="shared" si="5"/>
        <v>10773</v>
      </c>
      <c r="H20" s="598">
        <f t="shared" si="5"/>
        <v>11154.083333333334</v>
      </c>
      <c r="I20" s="598">
        <f t="shared" si="5"/>
        <v>10063.25</v>
      </c>
      <c r="J20" s="598">
        <f t="shared" si="5"/>
        <v>11086.09090909091</v>
      </c>
      <c r="K20" s="598">
        <f t="shared" si="5"/>
        <v>10799.416666666666</v>
      </c>
      <c r="L20" s="598">
        <f t="shared" si="5"/>
        <v>13287.333333333334</v>
      </c>
      <c r="M20" s="65">
        <f t="shared" ref="M20:S20" si="6">AVERAGE(M6:M11,M13:M18)</f>
        <v>13374.583333333334</v>
      </c>
      <c r="N20" s="65">
        <f t="shared" si="6"/>
        <v>12553</v>
      </c>
      <c r="O20" s="65">
        <f t="shared" si="6"/>
        <v>11779.166666666666</v>
      </c>
      <c r="P20" s="65">
        <f t="shared" si="6"/>
        <v>16851.083333333332</v>
      </c>
      <c r="Q20" s="65">
        <f t="shared" si="6"/>
        <v>19980.583333333332</v>
      </c>
      <c r="R20" s="65">
        <f t="shared" si="6"/>
        <v>22569.083333333332</v>
      </c>
      <c r="S20" s="65">
        <f t="shared" si="6"/>
        <v>27814.416666666668</v>
      </c>
      <c r="T20" s="604">
        <f>AVERAGE(T6:T11,T13:T18)</f>
        <v>31828.666666666668</v>
      </c>
      <c r="U20" s="604">
        <f>AVERAGE(U6:U11,U13:U18)</f>
        <v>26972.583333333332</v>
      </c>
      <c r="V20" s="604">
        <v>22279.166666666668</v>
      </c>
      <c r="W20" s="604">
        <v>19320.333333333332</v>
      </c>
      <c r="X20" s="605">
        <v>17911.083333333332</v>
      </c>
      <c r="Y20" s="605">
        <v>16909.333333333336</v>
      </c>
      <c r="Z20" s="604">
        <v>17791.75</v>
      </c>
      <c r="AA20" s="606">
        <f>AVERAGE(AA19,AA12)</f>
        <v>26753</v>
      </c>
      <c r="AB20" s="607">
        <f>AA20/Z20-1</f>
        <v>0.5036744558573496</v>
      </c>
    </row>
    <row r="21" spans="1:28">
      <c r="A21" s="3"/>
    </row>
    <row r="23" spans="1:28">
      <c r="A23" s="35"/>
      <c r="R23" s="32"/>
      <c r="S23" s="32"/>
      <c r="T23" s="32"/>
      <c r="U23" s="32"/>
      <c r="V23" s="32"/>
      <c r="W23" s="32"/>
      <c r="X23" s="32"/>
      <c r="Y23" s="499" t="s">
        <v>12</v>
      </c>
      <c r="Z23" s="499"/>
      <c r="AA23" s="499"/>
      <c r="AB23" s="32"/>
    </row>
    <row r="24" spans="1:28" ht="14.25">
      <c r="A24" s="20"/>
      <c r="R24" s="32"/>
      <c r="S24" s="32"/>
      <c r="T24" s="32"/>
      <c r="U24" s="32"/>
      <c r="V24" s="32"/>
      <c r="W24" s="499" t="s">
        <v>11</v>
      </c>
      <c r="X24" s="499"/>
      <c r="Y24" s="499"/>
      <c r="Z24" s="499"/>
      <c r="AA24" s="499"/>
      <c r="AB24" s="499"/>
    </row>
    <row r="25" spans="1:28">
      <c r="A25" s="29">
        <f>'κατά φύλο, μήνα 2019,2020'!A29</f>
        <v>44243</v>
      </c>
      <c r="O25" s="28"/>
      <c r="P25" s="32"/>
      <c r="Q25" s="32"/>
      <c r="R25" s="32"/>
      <c r="S25" s="32"/>
    </row>
    <row r="26" spans="1:28">
      <c r="A26" s="35"/>
      <c r="O26" s="32"/>
      <c r="P26" s="32"/>
      <c r="Q26" s="32"/>
      <c r="R26" s="32"/>
      <c r="S26" s="30"/>
    </row>
  </sheetData>
  <mergeCells count="4">
    <mergeCell ref="W24:AB24"/>
    <mergeCell ref="F4:Q4"/>
    <mergeCell ref="A3:AB3"/>
    <mergeCell ref="Y23:AA23"/>
  </mergeCells>
  <phoneticPr fontId="0" type="noConversion"/>
  <pageMargins left="0" right="0" top="0.98425196850393704" bottom="0.78740157480314965" header="0.51181102362204722" footer="0.51181102362204722"/>
  <pageSetup paperSize="9" scale="74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topLeftCell="A7" zoomScale="80" zoomScaleNormal="80" workbookViewId="0">
      <pane xSplit="1" topLeftCell="F1" activePane="topRight" state="frozen"/>
      <selection activeCell="A2" sqref="A2"/>
      <selection pane="topRight" activeCell="O12" sqref="O12"/>
    </sheetView>
  </sheetViews>
  <sheetFormatPr defaultRowHeight="12.75"/>
  <cols>
    <col min="1" max="1" width="30.85546875" customWidth="1"/>
    <col min="2" max="2" width="12.42578125" customWidth="1"/>
    <col min="4" max="4" width="9.5703125" customWidth="1"/>
    <col min="5" max="5" width="13" customWidth="1"/>
    <col min="6" max="7" width="9.42578125" customWidth="1"/>
    <col min="8" max="8" width="11.7109375" customWidth="1"/>
    <col min="10" max="10" width="10.28515625" bestFit="1" customWidth="1"/>
    <col min="11" max="11" width="13.7109375" bestFit="1" customWidth="1"/>
  </cols>
  <sheetData>
    <row r="1" spans="1:16">
      <c r="A1" s="66" t="s">
        <v>98</v>
      </c>
    </row>
    <row r="2" spans="1:16" ht="27.75" customHeight="1">
      <c r="A2" s="501" t="s">
        <v>154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</row>
    <row r="3" spans="1:16" ht="13.5" thickBot="1">
      <c r="A3" s="226"/>
    </row>
    <row r="4" spans="1:16" ht="19.5" customHeight="1">
      <c r="A4" s="509" t="s">
        <v>0</v>
      </c>
      <c r="B4" s="503">
        <v>2019</v>
      </c>
      <c r="C4" s="503"/>
      <c r="D4" s="503"/>
      <c r="E4" s="503"/>
      <c r="F4" s="503"/>
      <c r="G4" s="511" t="s">
        <v>124</v>
      </c>
      <c r="H4" s="503">
        <v>2020</v>
      </c>
      <c r="I4" s="503"/>
      <c r="J4" s="503"/>
      <c r="K4" s="503"/>
      <c r="L4" s="503"/>
      <c r="M4" s="507" t="s">
        <v>148</v>
      </c>
    </row>
    <row r="5" spans="1:16" ht="37.5" customHeight="1">
      <c r="A5" s="510"/>
      <c r="B5" s="88" t="s">
        <v>35</v>
      </c>
      <c r="C5" s="89" t="s">
        <v>36</v>
      </c>
      <c r="D5" s="89" t="s">
        <v>39</v>
      </c>
      <c r="E5" s="90" t="s">
        <v>37</v>
      </c>
      <c r="F5" s="89" t="s">
        <v>38</v>
      </c>
      <c r="G5" s="512"/>
      <c r="H5" s="88" t="s">
        <v>35</v>
      </c>
      <c r="I5" s="89" t="s">
        <v>36</v>
      </c>
      <c r="J5" s="89" t="s">
        <v>39</v>
      </c>
      <c r="K5" s="90" t="s">
        <v>37</v>
      </c>
      <c r="L5" s="89" t="s">
        <v>38</v>
      </c>
      <c r="M5" s="508"/>
    </row>
    <row r="6" spans="1:16" ht="18" customHeight="1">
      <c r="A6" s="91" t="s">
        <v>19</v>
      </c>
      <c r="B6" s="162">
        <v>14695</v>
      </c>
      <c r="C6" s="162">
        <v>6917</v>
      </c>
      <c r="D6" s="162">
        <v>1089</v>
      </c>
      <c r="E6" s="162">
        <v>35</v>
      </c>
      <c r="F6" s="162">
        <v>22736</v>
      </c>
      <c r="G6" s="254">
        <v>8.5354210425816257E-2</v>
      </c>
      <c r="H6" s="162">
        <v>12655</v>
      </c>
      <c r="I6" s="162">
        <v>7061</v>
      </c>
      <c r="J6" s="162">
        <v>1152</v>
      </c>
      <c r="K6" s="162">
        <v>60</v>
      </c>
      <c r="L6" s="162">
        <f t="shared" ref="L6:L11" si="0">SUM(H6:K6)</f>
        <v>20928</v>
      </c>
      <c r="M6" s="232">
        <f>(L6/F6)-1</f>
        <v>-7.952146375791691E-2</v>
      </c>
    </row>
    <row r="7" spans="1:16" ht="18" customHeight="1">
      <c r="A7" s="91" t="s">
        <v>20</v>
      </c>
      <c r="B7" s="162">
        <v>13047</v>
      </c>
      <c r="C7" s="162">
        <v>6633</v>
      </c>
      <c r="D7" s="162">
        <v>1059</v>
      </c>
      <c r="E7" s="162">
        <v>39</v>
      </c>
      <c r="F7" s="162">
        <v>20778</v>
      </c>
      <c r="G7" s="254">
        <v>9.7448898748217383E-2</v>
      </c>
      <c r="H7" s="162">
        <v>12396</v>
      </c>
      <c r="I7" s="162">
        <v>6903</v>
      </c>
      <c r="J7" s="162">
        <v>1148</v>
      </c>
      <c r="K7" s="162">
        <v>60</v>
      </c>
      <c r="L7" s="162">
        <f t="shared" si="0"/>
        <v>20507</v>
      </c>
      <c r="M7" s="232">
        <f t="shared" ref="M7:M20" si="1">(L7/F7)-1</f>
        <v>-1.3042641255173737E-2</v>
      </c>
    </row>
    <row r="8" spans="1:16" ht="18" customHeight="1">
      <c r="A8" s="91" t="s">
        <v>21</v>
      </c>
      <c r="B8" s="162">
        <v>11910</v>
      </c>
      <c r="C8" s="162">
        <v>5743</v>
      </c>
      <c r="D8" s="162">
        <v>924</v>
      </c>
      <c r="E8" s="162">
        <v>33</v>
      </c>
      <c r="F8" s="162">
        <v>18610</v>
      </c>
      <c r="G8" s="254">
        <v>0.11523940792233467</v>
      </c>
      <c r="H8" s="162">
        <v>13252</v>
      </c>
      <c r="I8" s="162">
        <v>7312</v>
      </c>
      <c r="J8" s="162">
        <v>1236</v>
      </c>
      <c r="K8" s="162">
        <v>60</v>
      </c>
      <c r="L8" s="162">
        <f t="shared" si="0"/>
        <v>21860</v>
      </c>
      <c r="M8" s="232">
        <f t="shared" si="1"/>
        <v>0.17463729177861365</v>
      </c>
    </row>
    <row r="9" spans="1:16" ht="18" customHeight="1">
      <c r="A9" s="91" t="s">
        <v>22</v>
      </c>
      <c r="B9" s="162">
        <v>8918</v>
      </c>
      <c r="C9" s="162">
        <v>3885</v>
      </c>
      <c r="D9" s="162">
        <v>681</v>
      </c>
      <c r="E9" s="162">
        <v>32</v>
      </c>
      <c r="F9" s="162">
        <v>13516</v>
      </c>
      <c r="G9" s="254">
        <v>0.15265222582295745</v>
      </c>
      <c r="H9" s="162">
        <v>9542</v>
      </c>
      <c r="I9" s="162">
        <v>5363</v>
      </c>
      <c r="J9" s="162">
        <v>926</v>
      </c>
      <c r="K9" s="162">
        <v>57</v>
      </c>
      <c r="L9" s="162">
        <f t="shared" si="0"/>
        <v>15888</v>
      </c>
      <c r="M9" s="232">
        <f t="shared" si="1"/>
        <v>0.17549570878958276</v>
      </c>
    </row>
    <row r="10" spans="1:16" ht="18" customHeight="1">
      <c r="A10" s="91" t="s">
        <v>23</v>
      </c>
      <c r="B10" s="162">
        <v>5757</v>
      </c>
      <c r="C10" s="162">
        <v>1646</v>
      </c>
      <c r="D10" s="162">
        <v>404</v>
      </c>
      <c r="E10" s="162">
        <v>20</v>
      </c>
      <c r="F10" s="162">
        <v>7827</v>
      </c>
      <c r="G10" s="254">
        <v>0.19935642047195823</v>
      </c>
      <c r="H10" s="162">
        <v>9681</v>
      </c>
      <c r="I10" s="162">
        <v>5383</v>
      </c>
      <c r="J10" s="162">
        <v>930</v>
      </c>
      <c r="K10" s="162">
        <v>58</v>
      </c>
      <c r="L10" s="162">
        <f t="shared" si="0"/>
        <v>16052</v>
      </c>
      <c r="M10" s="232">
        <f t="shared" si="1"/>
        <v>1.0508496230995275</v>
      </c>
    </row>
    <row r="11" spans="1:16" ht="18" customHeight="1" thickBot="1">
      <c r="A11" s="93" t="s">
        <v>24</v>
      </c>
      <c r="B11" s="163">
        <v>5926</v>
      </c>
      <c r="C11" s="163">
        <v>1118</v>
      </c>
      <c r="D11" s="163">
        <v>290</v>
      </c>
      <c r="E11" s="163">
        <v>21</v>
      </c>
      <c r="F11" s="163">
        <v>7355</v>
      </c>
      <c r="G11" s="255">
        <v>8.5288475726722712E-2</v>
      </c>
      <c r="H11" s="163">
        <v>7370</v>
      </c>
      <c r="I11" s="163">
        <v>2949</v>
      </c>
      <c r="J11" s="163">
        <v>617</v>
      </c>
      <c r="K11" s="163">
        <v>36</v>
      </c>
      <c r="L11" s="162">
        <f t="shared" si="0"/>
        <v>10972</v>
      </c>
      <c r="M11" s="303">
        <f t="shared" si="1"/>
        <v>0.4917743031951054</v>
      </c>
    </row>
    <row r="12" spans="1:16" ht="39" customHeight="1" thickBot="1">
      <c r="A12" s="95" t="s">
        <v>41</v>
      </c>
      <c r="B12" s="164">
        <v>10042.166666666666</v>
      </c>
      <c r="C12" s="164">
        <v>4323.666666666667</v>
      </c>
      <c r="D12" s="164">
        <v>741.16666666666663</v>
      </c>
      <c r="E12" s="164">
        <v>30</v>
      </c>
      <c r="F12" s="164">
        <v>15137</v>
      </c>
      <c r="G12" s="256">
        <v>0.11305562704511196</v>
      </c>
      <c r="H12" s="164">
        <f>AVERAGE(H6:H11)</f>
        <v>10816</v>
      </c>
      <c r="I12" s="164">
        <f t="shared" ref="I12:L12" si="2">AVERAGE(I6:I11)</f>
        <v>5828.5</v>
      </c>
      <c r="J12" s="164">
        <f t="shared" si="2"/>
        <v>1001.5</v>
      </c>
      <c r="K12" s="164">
        <f t="shared" si="2"/>
        <v>55.166666666666664</v>
      </c>
      <c r="L12" s="164">
        <f t="shared" si="2"/>
        <v>17701.166666666668</v>
      </c>
      <c r="M12" s="306">
        <f t="shared" si="1"/>
        <v>0.16939728259672782</v>
      </c>
      <c r="P12" s="250"/>
    </row>
    <row r="13" spans="1:16" ht="18" customHeight="1">
      <c r="A13" s="94" t="s">
        <v>25</v>
      </c>
      <c r="B13" s="165">
        <v>7980</v>
      </c>
      <c r="C13" s="165">
        <v>1295</v>
      </c>
      <c r="D13" s="165">
        <v>336</v>
      </c>
      <c r="E13" s="165">
        <v>22</v>
      </c>
      <c r="F13" s="165">
        <v>9633</v>
      </c>
      <c r="G13" s="257">
        <v>2.4896265560165887E-2</v>
      </c>
      <c r="H13" s="165">
        <v>9540</v>
      </c>
      <c r="I13" s="165">
        <v>2381</v>
      </c>
      <c r="J13" s="165">
        <v>546</v>
      </c>
      <c r="K13" s="165">
        <v>24</v>
      </c>
      <c r="L13" s="165">
        <f>SUM(H13:K13)</f>
        <v>12491</v>
      </c>
      <c r="M13" s="304">
        <f t="shared" si="1"/>
        <v>0.29668846672895266</v>
      </c>
    </row>
    <row r="14" spans="1:16" ht="18" customHeight="1">
      <c r="A14" s="91" t="s">
        <v>7</v>
      </c>
      <c r="B14" s="162">
        <v>8360</v>
      </c>
      <c r="C14" s="162">
        <v>1318</v>
      </c>
      <c r="D14" s="162">
        <v>355</v>
      </c>
      <c r="E14" s="162">
        <v>21</v>
      </c>
      <c r="F14" s="162">
        <v>10054</v>
      </c>
      <c r="G14" s="254">
        <v>4.4137501298161741E-2</v>
      </c>
      <c r="H14" s="162">
        <v>9490</v>
      </c>
      <c r="I14" s="162">
        <v>2116</v>
      </c>
      <c r="J14" s="162">
        <v>477</v>
      </c>
      <c r="K14" s="162">
        <v>20</v>
      </c>
      <c r="L14" s="165">
        <f t="shared" ref="L14:L18" si="3">SUM(H14:K14)</f>
        <v>12103</v>
      </c>
      <c r="M14" s="232">
        <f t="shared" si="1"/>
        <v>0.20379948279291815</v>
      </c>
    </row>
    <row r="15" spans="1:16" ht="18" customHeight="1">
      <c r="A15" s="91" t="s">
        <v>26</v>
      </c>
      <c r="B15" s="162">
        <v>7240</v>
      </c>
      <c r="C15" s="162">
        <v>1312</v>
      </c>
      <c r="D15" s="162">
        <v>347</v>
      </c>
      <c r="E15" s="162">
        <v>20</v>
      </c>
      <c r="F15" s="162">
        <v>8919</v>
      </c>
      <c r="G15" s="254">
        <v>2.2938410368161577E-2</v>
      </c>
      <c r="H15" s="162">
        <v>7563</v>
      </c>
      <c r="I15" s="162">
        <v>1895</v>
      </c>
      <c r="J15" s="162">
        <v>427</v>
      </c>
      <c r="K15" s="162">
        <v>21</v>
      </c>
      <c r="L15" s="165">
        <f t="shared" si="3"/>
        <v>9906</v>
      </c>
      <c r="M15" s="232">
        <f t="shared" si="1"/>
        <v>0.11066263033972423</v>
      </c>
    </row>
    <row r="16" spans="1:16" ht="18" customHeight="1">
      <c r="A16" s="91" t="s">
        <v>27</v>
      </c>
      <c r="B16" s="162">
        <v>4959</v>
      </c>
      <c r="C16" s="162">
        <v>1368</v>
      </c>
      <c r="D16" s="162">
        <v>335</v>
      </c>
      <c r="E16" s="162">
        <v>17</v>
      </c>
      <c r="F16" s="162">
        <v>6679</v>
      </c>
      <c r="G16" s="254">
        <v>-2.3538011695906413E-2</v>
      </c>
      <c r="H16" s="162">
        <v>5971</v>
      </c>
      <c r="I16" s="162">
        <v>1749</v>
      </c>
      <c r="J16" s="162">
        <v>406</v>
      </c>
      <c r="K16" s="162">
        <v>19</v>
      </c>
      <c r="L16" s="165">
        <f t="shared" si="3"/>
        <v>8145</v>
      </c>
      <c r="M16" s="232">
        <f t="shared" si="1"/>
        <v>0.21949393621799662</v>
      </c>
    </row>
    <row r="17" spans="1:16" ht="18" customHeight="1">
      <c r="A17" s="91" t="s">
        <v>28</v>
      </c>
      <c r="B17" s="162">
        <v>9137</v>
      </c>
      <c r="C17" s="162">
        <v>4757</v>
      </c>
      <c r="D17" s="162">
        <v>802</v>
      </c>
      <c r="E17" s="162">
        <v>39</v>
      </c>
      <c r="F17" s="162">
        <v>14735</v>
      </c>
      <c r="G17" s="254">
        <v>-4.1002277904327977E-2</v>
      </c>
      <c r="H17" s="162">
        <v>5938</v>
      </c>
      <c r="I17" s="162">
        <v>1958</v>
      </c>
      <c r="J17" s="162">
        <v>434</v>
      </c>
      <c r="K17" s="162">
        <v>29</v>
      </c>
      <c r="L17" s="165">
        <f t="shared" si="3"/>
        <v>8359</v>
      </c>
      <c r="M17" s="232">
        <f t="shared" si="1"/>
        <v>-0.43271123176111304</v>
      </c>
    </row>
    <row r="18" spans="1:16" ht="18" customHeight="1" thickBot="1">
      <c r="A18" s="93" t="s">
        <v>29</v>
      </c>
      <c r="B18" s="163">
        <v>11733</v>
      </c>
      <c r="C18" s="163">
        <v>6462</v>
      </c>
      <c r="D18" s="163">
        <v>1058</v>
      </c>
      <c r="E18" s="163">
        <v>58</v>
      </c>
      <c r="F18" s="163">
        <v>19311</v>
      </c>
      <c r="G18" s="255">
        <v>-5.0309825907347339E-2</v>
      </c>
      <c r="H18" s="163">
        <v>6166</v>
      </c>
      <c r="I18" s="163">
        <v>2125</v>
      </c>
      <c r="J18" s="163">
        <v>449</v>
      </c>
      <c r="K18" s="163">
        <v>27</v>
      </c>
      <c r="L18" s="165">
        <f t="shared" si="3"/>
        <v>8767</v>
      </c>
      <c r="M18" s="303">
        <f t="shared" si="1"/>
        <v>-0.54601004608772197</v>
      </c>
    </row>
    <row r="19" spans="1:16" ht="24.75" thickBot="1">
      <c r="A19" s="95" t="s">
        <v>42</v>
      </c>
      <c r="B19" s="164">
        <v>8234.8333333333339</v>
      </c>
      <c r="C19" s="164">
        <v>2752</v>
      </c>
      <c r="D19" s="164">
        <v>538.83333333333337</v>
      </c>
      <c r="E19" s="164">
        <v>29.5</v>
      </c>
      <c r="F19" s="164">
        <v>11555.166666666666</v>
      </c>
      <c r="G19" s="258">
        <v>-1.3587343140881614E-2</v>
      </c>
      <c r="H19" s="164">
        <f>AVERAGE(H13:H18)</f>
        <v>7444.666666666667</v>
      </c>
      <c r="I19" s="164">
        <f t="shared" ref="I19:L19" si="4">AVERAGE(I13:I18)</f>
        <v>2037.3333333333333</v>
      </c>
      <c r="J19" s="164">
        <f t="shared" si="4"/>
        <v>456.5</v>
      </c>
      <c r="K19" s="164">
        <f t="shared" si="4"/>
        <v>23.333333333333332</v>
      </c>
      <c r="L19" s="164">
        <f t="shared" si="4"/>
        <v>9961.8333333333339</v>
      </c>
      <c r="M19" s="306">
        <f t="shared" si="1"/>
        <v>-0.13788925588841927</v>
      </c>
    </row>
    <row r="20" spans="1:16" ht="24.75" thickBot="1">
      <c r="A20" s="95" t="s">
        <v>43</v>
      </c>
      <c r="B20" s="164">
        <v>9138.5</v>
      </c>
      <c r="C20" s="164">
        <v>3537.8333333333335</v>
      </c>
      <c r="D20" s="164">
        <v>640</v>
      </c>
      <c r="E20" s="164">
        <v>29.75</v>
      </c>
      <c r="F20" s="164">
        <v>13346.083333333332</v>
      </c>
      <c r="G20" s="258">
        <v>5.4449806759149899E-2</v>
      </c>
      <c r="H20" s="164">
        <f>AVERAGE(H12,H19)</f>
        <v>9130.3333333333339</v>
      </c>
      <c r="I20" s="164">
        <f t="shared" ref="I20:L20" si="5">AVERAGE(I12,I19)</f>
        <v>3932.9166666666665</v>
      </c>
      <c r="J20" s="164">
        <f t="shared" si="5"/>
        <v>729</v>
      </c>
      <c r="K20" s="164">
        <f t="shared" si="5"/>
        <v>39.25</v>
      </c>
      <c r="L20" s="164">
        <f t="shared" si="5"/>
        <v>13831.5</v>
      </c>
      <c r="M20" s="306">
        <f t="shared" si="1"/>
        <v>3.6371469782020993E-2</v>
      </c>
      <c r="P20" s="179"/>
    </row>
    <row r="21" spans="1:16" ht="26.25" customHeight="1" thickBot="1">
      <c r="A21" s="504" t="s">
        <v>40</v>
      </c>
      <c r="B21" s="505"/>
      <c r="C21" s="505"/>
      <c r="D21" s="505"/>
      <c r="E21" s="505"/>
      <c r="F21" s="505"/>
      <c r="G21" s="505"/>
      <c r="H21" s="505"/>
      <c r="I21" s="505"/>
      <c r="J21" s="505"/>
      <c r="K21" s="505"/>
      <c r="L21" s="505"/>
      <c r="M21" s="506"/>
    </row>
    <row r="22" spans="1:16">
      <c r="G22" s="305"/>
      <c r="M22" s="182"/>
    </row>
    <row r="23" spans="1:16">
      <c r="G23" s="182"/>
    </row>
    <row r="24" spans="1:16">
      <c r="A24" s="31"/>
      <c r="G24" s="11"/>
    </row>
    <row r="25" spans="1:16">
      <c r="A25" s="38" t="s">
        <v>149</v>
      </c>
      <c r="B25" s="32"/>
      <c r="C25" s="32"/>
      <c r="D25" s="32"/>
      <c r="E25" s="32"/>
      <c r="F25" s="32"/>
      <c r="J25" s="28"/>
      <c r="K25" s="499" t="s">
        <v>12</v>
      </c>
      <c r="L25" s="499"/>
      <c r="M25" s="32"/>
    </row>
    <row r="26" spans="1:16">
      <c r="A26" s="29">
        <v>44495</v>
      </c>
      <c r="B26" s="70"/>
      <c r="C26" s="70"/>
      <c r="D26" s="70"/>
      <c r="E26" s="70"/>
      <c r="F26" s="70"/>
      <c r="J26" s="499" t="s">
        <v>11</v>
      </c>
      <c r="K26" s="499"/>
      <c r="L26" s="499"/>
      <c r="M26" s="499"/>
    </row>
    <row r="27" spans="1:16">
      <c r="G27" s="32"/>
    </row>
    <row r="28" spans="1:16">
      <c r="G28" s="231"/>
    </row>
    <row r="29" spans="1:16">
      <c r="G29" t="s">
        <v>122</v>
      </c>
    </row>
  </sheetData>
  <mergeCells count="9">
    <mergeCell ref="A2:M2"/>
    <mergeCell ref="B4:F4"/>
    <mergeCell ref="K25:L25"/>
    <mergeCell ref="J26:M26"/>
    <mergeCell ref="A21:M21"/>
    <mergeCell ref="H4:L4"/>
    <mergeCell ref="M4:M5"/>
    <mergeCell ref="A4:A5"/>
    <mergeCell ref="G4:G5"/>
  </mergeCells>
  <pageMargins left="0" right="0" top="0.35433070866141736" bottom="0.15748031496062992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2"/>
  <sheetViews>
    <sheetView zoomScale="70" zoomScaleNormal="70" workbookViewId="0">
      <pane xSplit="21" topLeftCell="AK1" activePane="topRight" state="frozen"/>
      <selection pane="topRight" activeCell="AT33" sqref="AT33"/>
    </sheetView>
  </sheetViews>
  <sheetFormatPr defaultColWidth="17.7109375" defaultRowHeight="12.75"/>
  <cols>
    <col min="1" max="1" width="17.28515625" customWidth="1"/>
    <col min="2" max="2" width="9.5703125" hidden="1" customWidth="1"/>
    <col min="3" max="5" width="14.140625" hidden="1" customWidth="1"/>
    <col min="6" max="6" width="9.7109375" hidden="1" customWidth="1"/>
    <col min="7" max="7" width="14.42578125" hidden="1" customWidth="1"/>
    <col min="8" max="8" width="7.7109375" hidden="1" customWidth="1"/>
    <col min="9" max="9" width="16.5703125" hidden="1" customWidth="1"/>
    <col min="10" max="10" width="7.7109375" hidden="1" customWidth="1"/>
    <col min="11" max="11" width="16.5703125" hidden="1" customWidth="1"/>
    <col min="12" max="12" width="30.28515625" hidden="1" customWidth="1"/>
    <col min="13" max="13" width="7.7109375" hidden="1" customWidth="1"/>
    <col min="14" max="14" width="16.5703125" hidden="1" customWidth="1"/>
    <col min="15" max="15" width="30.28515625" hidden="1" customWidth="1"/>
    <col min="16" max="16" width="7.7109375" hidden="1" customWidth="1"/>
    <col min="17" max="17" width="16.5703125" hidden="1" customWidth="1"/>
    <col min="18" max="18" width="30.28515625" hidden="1" customWidth="1"/>
    <col min="19" max="19" width="7.7109375" hidden="1" customWidth="1"/>
    <col min="20" max="20" width="16" hidden="1" customWidth="1"/>
    <col min="21" max="21" width="8.28515625" hidden="1" customWidth="1"/>
    <col min="22" max="22" width="8.5703125" customWidth="1"/>
    <col min="23" max="23" width="15.7109375" customWidth="1"/>
    <col min="24" max="24" width="8.42578125" customWidth="1"/>
    <col min="25" max="25" width="8.5703125" customWidth="1"/>
    <col min="26" max="26" width="15.7109375" customWidth="1"/>
    <col min="27" max="27" width="8.42578125" customWidth="1"/>
    <col min="28" max="28" width="8.5703125" style="166" customWidth="1"/>
    <col min="29" max="29" width="15.7109375" customWidth="1"/>
    <col min="30" max="31" width="8.42578125" customWidth="1"/>
    <col min="32" max="32" width="16" bestFit="1" customWidth="1"/>
    <col min="33" max="33" width="8.42578125" customWidth="1"/>
    <col min="34" max="34" width="8.5703125" style="166" customWidth="1"/>
    <col min="35" max="35" width="15.140625" customWidth="1"/>
    <col min="36" max="36" width="8.42578125" customWidth="1"/>
    <col min="37" max="37" width="8.42578125" bestFit="1" customWidth="1"/>
    <col min="38" max="38" width="18.140625" bestFit="1" customWidth="1"/>
    <col min="39" max="39" width="9.140625" customWidth="1"/>
    <col min="40" max="40" width="7.7109375" bestFit="1" customWidth="1"/>
    <col min="41" max="41" width="18.140625" bestFit="1" customWidth="1"/>
    <col min="42" max="42" width="9.140625" customWidth="1"/>
    <col min="43" max="43" width="7.7109375" bestFit="1" customWidth="1"/>
    <col min="44" max="44" width="18.140625" bestFit="1" customWidth="1"/>
    <col min="45" max="45" width="9.140625" customWidth="1"/>
  </cols>
  <sheetData>
    <row r="1" spans="1:47">
      <c r="A1" s="66" t="s">
        <v>99</v>
      </c>
    </row>
    <row r="2" spans="1:47" ht="24" customHeight="1">
      <c r="A2" s="531" t="s">
        <v>150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2"/>
    </row>
    <row r="3" spans="1:47" ht="13.5" customHeight="1" thickBot="1"/>
    <row r="4" spans="1:47" ht="12.75" customHeight="1">
      <c r="A4" s="529" t="s">
        <v>13</v>
      </c>
      <c r="B4" s="514">
        <v>2005</v>
      </c>
      <c r="C4" s="514"/>
      <c r="D4" s="514">
        <v>2006</v>
      </c>
      <c r="E4" s="514"/>
      <c r="F4" s="514">
        <v>2007</v>
      </c>
      <c r="G4" s="514"/>
      <c r="H4" s="514">
        <v>2008</v>
      </c>
      <c r="I4" s="514"/>
      <c r="J4" s="514">
        <v>2009</v>
      </c>
      <c r="K4" s="514"/>
      <c r="L4" s="527" t="s">
        <v>32</v>
      </c>
      <c r="M4" s="514">
        <v>2010</v>
      </c>
      <c r="N4" s="514"/>
      <c r="O4" s="527" t="s">
        <v>33</v>
      </c>
      <c r="P4" s="514">
        <v>2011</v>
      </c>
      <c r="Q4" s="514"/>
      <c r="R4" s="527" t="s">
        <v>34</v>
      </c>
      <c r="S4" s="514">
        <v>2012</v>
      </c>
      <c r="T4" s="514"/>
      <c r="U4" s="527" t="s">
        <v>58</v>
      </c>
      <c r="V4" s="514">
        <v>2013</v>
      </c>
      <c r="W4" s="514"/>
      <c r="X4" s="527" t="s">
        <v>91</v>
      </c>
      <c r="Y4" s="514">
        <v>2014</v>
      </c>
      <c r="Z4" s="514"/>
      <c r="AA4" s="527" t="s">
        <v>113</v>
      </c>
      <c r="AB4" s="535">
        <v>2015</v>
      </c>
      <c r="AC4" s="535"/>
      <c r="AD4" s="536" t="s">
        <v>114</v>
      </c>
      <c r="AE4" s="514">
        <v>2016</v>
      </c>
      <c r="AF4" s="514"/>
      <c r="AG4" s="517" t="s">
        <v>117</v>
      </c>
      <c r="AH4" s="522">
        <v>2017</v>
      </c>
      <c r="AI4" s="514"/>
      <c r="AJ4" s="523" t="s">
        <v>119</v>
      </c>
      <c r="AK4" s="535">
        <v>2018</v>
      </c>
      <c r="AL4" s="535"/>
      <c r="AM4" s="517" t="s">
        <v>120</v>
      </c>
      <c r="AN4" s="514">
        <v>2019</v>
      </c>
      <c r="AO4" s="514"/>
      <c r="AP4" s="517" t="s">
        <v>125</v>
      </c>
      <c r="AQ4" s="522">
        <v>2020</v>
      </c>
      <c r="AR4" s="514"/>
      <c r="AS4" s="517" t="s">
        <v>151</v>
      </c>
    </row>
    <row r="5" spans="1:47" ht="12.75" customHeight="1">
      <c r="A5" s="530"/>
      <c r="B5" s="97" t="s">
        <v>14</v>
      </c>
      <c r="C5" s="97" t="s">
        <v>15</v>
      </c>
      <c r="D5" s="97" t="s">
        <v>14</v>
      </c>
      <c r="E5" s="97" t="s">
        <v>15</v>
      </c>
      <c r="F5" s="97" t="s">
        <v>14</v>
      </c>
      <c r="G5" s="97" t="s">
        <v>15</v>
      </c>
      <c r="H5" s="97" t="s">
        <v>14</v>
      </c>
      <c r="I5" s="519" t="s">
        <v>57</v>
      </c>
      <c r="J5" s="97" t="s">
        <v>14</v>
      </c>
      <c r="K5" s="519" t="s">
        <v>57</v>
      </c>
      <c r="L5" s="528"/>
      <c r="M5" s="97" t="s">
        <v>14</v>
      </c>
      <c r="N5" s="519" t="s">
        <v>57</v>
      </c>
      <c r="O5" s="528"/>
      <c r="P5" s="97" t="s">
        <v>14</v>
      </c>
      <c r="Q5" s="519" t="s">
        <v>57</v>
      </c>
      <c r="R5" s="528"/>
      <c r="S5" s="515" t="s">
        <v>121</v>
      </c>
      <c r="T5" s="519" t="s">
        <v>57</v>
      </c>
      <c r="U5" s="528"/>
      <c r="V5" s="515" t="s">
        <v>121</v>
      </c>
      <c r="W5" s="519" t="s">
        <v>57</v>
      </c>
      <c r="X5" s="528"/>
      <c r="Y5" s="515" t="s">
        <v>121</v>
      </c>
      <c r="Z5" s="519" t="s">
        <v>57</v>
      </c>
      <c r="AA5" s="528"/>
      <c r="AB5" s="515" t="s">
        <v>121</v>
      </c>
      <c r="AC5" s="525" t="s">
        <v>57</v>
      </c>
      <c r="AD5" s="537"/>
      <c r="AE5" s="515" t="s">
        <v>121</v>
      </c>
      <c r="AF5" s="519" t="s">
        <v>57</v>
      </c>
      <c r="AG5" s="518"/>
      <c r="AH5" s="515" t="s">
        <v>121</v>
      </c>
      <c r="AI5" s="519" t="s">
        <v>57</v>
      </c>
      <c r="AJ5" s="524"/>
      <c r="AK5" s="520" t="s">
        <v>121</v>
      </c>
      <c r="AL5" s="525" t="s">
        <v>57</v>
      </c>
      <c r="AM5" s="518"/>
      <c r="AN5" s="515" t="s">
        <v>121</v>
      </c>
      <c r="AO5" s="519" t="s">
        <v>57</v>
      </c>
      <c r="AP5" s="518"/>
      <c r="AQ5" s="538" t="s">
        <v>121</v>
      </c>
      <c r="AR5" s="519" t="s">
        <v>57</v>
      </c>
      <c r="AS5" s="518"/>
    </row>
    <row r="6" spans="1:47" ht="31.5" customHeight="1">
      <c r="A6" s="530"/>
      <c r="B6" s="98" t="s">
        <v>16</v>
      </c>
      <c r="C6" s="97" t="s">
        <v>30</v>
      </c>
      <c r="D6" s="97" t="s">
        <v>16</v>
      </c>
      <c r="E6" s="97" t="s">
        <v>17</v>
      </c>
      <c r="F6" s="98" t="s">
        <v>16</v>
      </c>
      <c r="G6" s="97" t="s">
        <v>17</v>
      </c>
      <c r="H6" s="97" t="s">
        <v>50</v>
      </c>
      <c r="I6" s="519"/>
      <c r="J6" s="97" t="s">
        <v>50</v>
      </c>
      <c r="K6" s="519"/>
      <c r="L6" s="528"/>
      <c r="M6" s="97" t="s">
        <v>50</v>
      </c>
      <c r="N6" s="519"/>
      <c r="O6" s="528"/>
      <c r="P6" s="97" t="s">
        <v>50</v>
      </c>
      <c r="Q6" s="519"/>
      <c r="R6" s="528"/>
      <c r="S6" s="516"/>
      <c r="T6" s="519"/>
      <c r="U6" s="528"/>
      <c r="V6" s="516"/>
      <c r="W6" s="519"/>
      <c r="X6" s="528"/>
      <c r="Y6" s="516"/>
      <c r="Z6" s="519"/>
      <c r="AA6" s="528"/>
      <c r="AB6" s="516"/>
      <c r="AC6" s="525"/>
      <c r="AD6" s="537"/>
      <c r="AE6" s="516"/>
      <c r="AF6" s="519"/>
      <c r="AG6" s="518"/>
      <c r="AH6" s="516"/>
      <c r="AI6" s="519"/>
      <c r="AJ6" s="524"/>
      <c r="AK6" s="521"/>
      <c r="AL6" s="525"/>
      <c r="AM6" s="518"/>
      <c r="AN6" s="516"/>
      <c r="AO6" s="519"/>
      <c r="AP6" s="518"/>
      <c r="AQ6" s="539"/>
      <c r="AR6" s="519"/>
      <c r="AS6" s="518"/>
    </row>
    <row r="7" spans="1:47" ht="15" customHeight="1">
      <c r="A7" s="99" t="s">
        <v>19</v>
      </c>
      <c r="B7" s="25">
        <v>14673</v>
      </c>
      <c r="C7" s="100">
        <v>2940510</v>
      </c>
      <c r="D7" s="25">
        <v>14562</v>
      </c>
      <c r="E7" s="48">
        <v>3818295</v>
      </c>
      <c r="F7" s="25">
        <v>14489</v>
      </c>
      <c r="G7" s="100">
        <v>3005355</v>
      </c>
      <c r="H7" s="25">
        <v>12860</v>
      </c>
      <c r="I7" s="48">
        <v>6429356</v>
      </c>
      <c r="J7" s="25">
        <v>14841</v>
      </c>
      <c r="K7" s="49">
        <v>5725662</v>
      </c>
      <c r="L7" s="92">
        <f t="shared" ref="L7:L21" si="0">J7/H7-1</f>
        <v>0.15404354587869373</v>
      </c>
      <c r="M7" s="25">
        <v>20020</v>
      </c>
      <c r="N7" s="52">
        <v>6402802</v>
      </c>
      <c r="O7" s="78">
        <f t="shared" ref="O7:O21" si="1">M7/J7-1</f>
        <v>0.34896570311973596</v>
      </c>
      <c r="P7" s="25">
        <v>20351</v>
      </c>
      <c r="Q7" s="52">
        <v>7694758</v>
      </c>
      <c r="R7" s="78">
        <f t="shared" ref="R7:R21" si="2">P7/M7-1</f>
        <v>1.6533466533466434E-2</v>
      </c>
      <c r="S7" s="25">
        <v>24571</v>
      </c>
      <c r="T7" s="52">
        <v>7876600</v>
      </c>
      <c r="U7" s="78">
        <f t="shared" ref="U7:U21" si="3">S7/P7-1</f>
        <v>0.20736081765023839</v>
      </c>
      <c r="V7" s="79">
        <v>26620</v>
      </c>
      <c r="W7" s="52">
        <v>12806842</v>
      </c>
      <c r="X7" s="78">
        <v>8.3390989377721603E-2</v>
      </c>
      <c r="Y7" s="25">
        <v>25851</v>
      </c>
      <c r="Z7" s="52">
        <v>12217167.890000001</v>
      </c>
      <c r="AA7" s="78">
        <v>-2.8888054094665661E-2</v>
      </c>
      <c r="AB7" s="79">
        <v>22852</v>
      </c>
      <c r="AC7" s="138">
        <v>8009723.1799999997</v>
      </c>
      <c r="AD7" s="183">
        <v>-0.11601098603535642</v>
      </c>
      <c r="AE7" s="79">
        <v>21711</v>
      </c>
      <c r="AF7" s="160">
        <v>7357934.4800000004</v>
      </c>
      <c r="AG7" s="63">
        <v>-4.992998424645545E-2</v>
      </c>
      <c r="AH7" s="229">
        <v>21603</v>
      </c>
      <c r="AI7" s="160">
        <v>7061370.6100000003</v>
      </c>
      <c r="AJ7" s="227">
        <v>-4.9744369213762241E-3</v>
      </c>
      <c r="AK7" s="79">
        <v>20948</v>
      </c>
      <c r="AL7" s="261">
        <v>7429323.2000000002</v>
      </c>
      <c r="AM7" s="63">
        <v>-3.0319862981993295E-2</v>
      </c>
      <c r="AN7" s="79">
        <v>22736</v>
      </c>
      <c r="AO7" s="160">
        <v>8093123.0999999996</v>
      </c>
      <c r="AP7" s="63">
        <v>8.5354210425816257E-2</v>
      </c>
      <c r="AQ7" s="229">
        <f>'δικ κατά μήν και κοιν 2019-2020'!L6</f>
        <v>20928</v>
      </c>
      <c r="AR7" s="160">
        <v>7498988.0300000003</v>
      </c>
      <c r="AS7" s="63">
        <f>'δικ κατά μήν και κοιν 2019-2020'!M6</f>
        <v>-7.952146375791691E-2</v>
      </c>
    </row>
    <row r="8" spans="1:47" ht="15" customHeight="1">
      <c r="A8" s="99" t="s">
        <v>20</v>
      </c>
      <c r="B8" s="25">
        <v>14411</v>
      </c>
      <c r="C8" s="100">
        <v>3852153</v>
      </c>
      <c r="D8" s="25">
        <v>14322</v>
      </c>
      <c r="E8" s="48">
        <v>3421812</v>
      </c>
      <c r="F8" s="25">
        <v>13985</v>
      </c>
      <c r="G8" s="100">
        <v>4133238</v>
      </c>
      <c r="H8" s="25">
        <v>12872</v>
      </c>
      <c r="I8" s="48">
        <v>7705397</v>
      </c>
      <c r="J8" s="25">
        <v>15214</v>
      </c>
      <c r="K8" s="49">
        <v>7721727</v>
      </c>
      <c r="L8" s="92">
        <f t="shared" si="0"/>
        <v>0.18194530764449968</v>
      </c>
      <c r="M8" s="25">
        <v>18653</v>
      </c>
      <c r="N8" s="52">
        <v>9341322</v>
      </c>
      <c r="O8" s="78">
        <f t="shared" si="1"/>
        <v>0.22604180360194559</v>
      </c>
      <c r="P8" s="25">
        <v>19835</v>
      </c>
      <c r="Q8" s="52">
        <v>9733588</v>
      </c>
      <c r="R8" s="78">
        <f t="shared" si="2"/>
        <v>6.3367822870315837E-2</v>
      </c>
      <c r="S8" s="25">
        <v>23999</v>
      </c>
      <c r="T8" s="52">
        <v>13293238</v>
      </c>
      <c r="U8" s="78">
        <f t="shared" si="3"/>
        <v>0.20993193849256375</v>
      </c>
      <c r="V8" s="79">
        <v>26029</v>
      </c>
      <c r="W8" s="52">
        <v>13168840</v>
      </c>
      <c r="X8" s="78">
        <v>8.4586857785741154E-2</v>
      </c>
      <c r="Y8" s="25">
        <v>24531</v>
      </c>
      <c r="Z8" s="52">
        <v>15484118.310000001</v>
      </c>
      <c r="AA8" s="78">
        <v>-5.75511929002267E-2</v>
      </c>
      <c r="AB8" s="79">
        <v>22115</v>
      </c>
      <c r="AC8" s="138">
        <v>12834958.65</v>
      </c>
      <c r="AD8" s="183">
        <v>-9.8487627899392582E-2</v>
      </c>
      <c r="AE8" s="79">
        <v>20986</v>
      </c>
      <c r="AF8" s="161">
        <v>13209967.01</v>
      </c>
      <c r="AG8" s="63">
        <v>-5.1051322631697982E-2</v>
      </c>
      <c r="AH8" s="229">
        <v>20625</v>
      </c>
      <c r="AI8" s="161">
        <v>10095557.810000001</v>
      </c>
      <c r="AJ8" s="227">
        <v>-1.7201944153245052E-2</v>
      </c>
      <c r="AK8" s="79">
        <v>18933</v>
      </c>
      <c r="AL8" s="261">
        <v>10754630.800000001</v>
      </c>
      <c r="AM8" s="63">
        <v>-8.2036363636363685E-2</v>
      </c>
      <c r="AN8" s="79">
        <v>20778</v>
      </c>
      <c r="AO8" s="160">
        <v>11483431.65</v>
      </c>
      <c r="AP8" s="63">
        <v>9.7448898748217383E-2</v>
      </c>
      <c r="AQ8" s="229">
        <f>'δικ κατά μήν και κοιν 2019-2020'!L7</f>
        <v>20507</v>
      </c>
      <c r="AR8" s="160">
        <v>12953397.880000001</v>
      </c>
      <c r="AS8" s="63">
        <f>'δικ κατά μήν και κοιν 2019-2020'!M7</f>
        <v>-1.3042641255173737E-2</v>
      </c>
    </row>
    <row r="9" spans="1:47" ht="15" customHeight="1">
      <c r="A9" s="99" t="s">
        <v>21</v>
      </c>
      <c r="B9" s="25">
        <v>13289</v>
      </c>
      <c r="C9" s="100">
        <v>4243776</v>
      </c>
      <c r="D9" s="25">
        <v>13512</v>
      </c>
      <c r="E9" s="48">
        <v>4348349</v>
      </c>
      <c r="F9" s="25">
        <v>12972</v>
      </c>
      <c r="G9" s="100">
        <v>4375808</v>
      </c>
      <c r="H9" s="25">
        <v>12054</v>
      </c>
      <c r="I9" s="49">
        <v>6561430</v>
      </c>
      <c r="J9" s="25">
        <v>15070</v>
      </c>
      <c r="K9" s="49">
        <v>6994997</v>
      </c>
      <c r="L9" s="92">
        <f t="shared" si="0"/>
        <v>0.25020740003318398</v>
      </c>
      <c r="M9" s="25">
        <v>18118</v>
      </c>
      <c r="N9" s="52">
        <v>12306668</v>
      </c>
      <c r="O9" s="78">
        <f t="shared" si="1"/>
        <v>0.20225613802256137</v>
      </c>
      <c r="P9" s="25">
        <v>18795</v>
      </c>
      <c r="Q9" s="52">
        <v>16379537</v>
      </c>
      <c r="R9" s="78">
        <f t="shared" si="2"/>
        <v>3.7366155204768825E-2</v>
      </c>
      <c r="S9" s="25">
        <v>23365</v>
      </c>
      <c r="T9" s="52">
        <v>13221451</v>
      </c>
      <c r="U9" s="78">
        <f t="shared" si="3"/>
        <v>0.24314977387603087</v>
      </c>
      <c r="V9" s="79">
        <v>25463</v>
      </c>
      <c r="W9" s="52">
        <v>8845520</v>
      </c>
      <c r="X9" s="78">
        <v>8.9792424566659479E-2</v>
      </c>
      <c r="Y9" s="25">
        <v>22756</v>
      </c>
      <c r="Z9" s="52">
        <v>21530313.949999999</v>
      </c>
      <c r="AA9" s="78">
        <v>-0.10631111809291915</v>
      </c>
      <c r="AB9" s="79">
        <v>21503</v>
      </c>
      <c r="AC9" s="138">
        <v>16495174.210000001</v>
      </c>
      <c r="AD9" s="183">
        <v>-5.5062401124978066E-2</v>
      </c>
      <c r="AE9" s="79">
        <v>18701</v>
      </c>
      <c r="AF9" s="161">
        <v>14919427.77</v>
      </c>
      <c r="AG9" s="63">
        <v>-0.13030739896758592</v>
      </c>
      <c r="AH9" s="229">
        <v>18583</v>
      </c>
      <c r="AI9" s="161">
        <v>16551348.83</v>
      </c>
      <c r="AJ9" s="227">
        <v>-6.3098230041174208E-3</v>
      </c>
      <c r="AK9" s="79">
        <v>16687</v>
      </c>
      <c r="AL9" s="261">
        <v>13627813.359999999</v>
      </c>
      <c r="AM9" s="63">
        <v>-0.1020287359414519</v>
      </c>
      <c r="AN9" s="79">
        <v>18610</v>
      </c>
      <c r="AO9" s="160">
        <v>12735730.970000001</v>
      </c>
      <c r="AP9" s="63">
        <v>0.11523940792233467</v>
      </c>
      <c r="AQ9" s="229">
        <f>'δικ κατά μήν και κοιν 2019-2020'!L8</f>
        <v>21860</v>
      </c>
      <c r="AR9" s="160">
        <v>12504412.470000001</v>
      </c>
      <c r="AS9" s="63">
        <f>'δικ κατά μήν και κοιν 2019-2020'!M8</f>
        <v>0.17463729177861365</v>
      </c>
    </row>
    <row r="10" spans="1:47" ht="15" customHeight="1">
      <c r="A10" s="99" t="s">
        <v>22</v>
      </c>
      <c r="B10" s="25">
        <v>8005</v>
      </c>
      <c r="C10" s="100">
        <v>3585663</v>
      </c>
      <c r="D10" s="25">
        <v>8879</v>
      </c>
      <c r="E10" s="48">
        <v>4502221</v>
      </c>
      <c r="F10" s="25">
        <v>8319</v>
      </c>
      <c r="G10" s="100">
        <v>3911497</v>
      </c>
      <c r="H10" s="25">
        <v>7536</v>
      </c>
      <c r="I10" s="48">
        <v>6895257</v>
      </c>
      <c r="J10" s="25">
        <v>11372</v>
      </c>
      <c r="K10" s="48">
        <v>6955494</v>
      </c>
      <c r="L10" s="92">
        <f t="shared" si="0"/>
        <v>0.50902335456475578</v>
      </c>
      <c r="M10" s="25">
        <v>13085</v>
      </c>
      <c r="N10" s="51">
        <v>8344709</v>
      </c>
      <c r="O10" s="78">
        <f t="shared" si="1"/>
        <v>0.1506331340133662</v>
      </c>
      <c r="P10" s="25">
        <v>14693</v>
      </c>
      <c r="Q10" s="51">
        <v>8299999</v>
      </c>
      <c r="R10" s="78">
        <f t="shared" si="2"/>
        <v>0.12288880397401614</v>
      </c>
      <c r="S10" s="25">
        <v>20574</v>
      </c>
      <c r="T10" s="51">
        <v>16676663</v>
      </c>
      <c r="U10" s="78">
        <f t="shared" si="3"/>
        <v>0.40025862655686373</v>
      </c>
      <c r="V10" s="79">
        <v>22232</v>
      </c>
      <c r="W10" s="51">
        <v>28124828</v>
      </c>
      <c r="X10" s="78">
        <v>8.0587148828618727E-2</v>
      </c>
      <c r="Y10" s="25">
        <v>16029</v>
      </c>
      <c r="Z10" s="51">
        <v>8958941.1099999994</v>
      </c>
      <c r="AA10" s="78">
        <v>-0.27901223461676861</v>
      </c>
      <c r="AB10" s="79">
        <v>14653</v>
      </c>
      <c r="AC10" s="102">
        <v>9258461.4900000002</v>
      </c>
      <c r="AD10" s="183">
        <v>-8.5844407012290236E-2</v>
      </c>
      <c r="AE10" s="79">
        <v>12541</v>
      </c>
      <c r="AF10" s="161">
        <v>11580668.84</v>
      </c>
      <c r="AG10" s="63">
        <v>-0.14413430696785645</v>
      </c>
      <c r="AH10" s="229">
        <v>12509</v>
      </c>
      <c r="AI10" s="161">
        <v>9722923.1099999994</v>
      </c>
      <c r="AJ10" s="227">
        <v>-2.5516306514632436E-3</v>
      </c>
      <c r="AK10" s="79">
        <v>11726</v>
      </c>
      <c r="AL10" s="261">
        <v>8791360.4499999993</v>
      </c>
      <c r="AM10" s="63">
        <v>-6.2594931649212593E-2</v>
      </c>
      <c r="AN10" s="79">
        <v>13516</v>
      </c>
      <c r="AO10" s="160">
        <v>13796304.83</v>
      </c>
      <c r="AP10" s="63">
        <v>0.15265222582295745</v>
      </c>
      <c r="AQ10" s="229">
        <f>'δικ κατά μήν και κοιν 2019-2020'!L9</f>
        <v>15888</v>
      </c>
      <c r="AR10" s="160">
        <v>10416203.68</v>
      </c>
      <c r="AS10" s="63">
        <f>'δικ κατά μήν και κοιν 2019-2020'!M9</f>
        <v>0.17549570878958276</v>
      </c>
    </row>
    <row r="11" spans="1:47" ht="15" customHeight="1">
      <c r="A11" s="99" t="s">
        <v>23</v>
      </c>
      <c r="B11" s="25">
        <v>7266</v>
      </c>
      <c r="C11" s="100">
        <v>2647918</v>
      </c>
      <c r="D11" s="25">
        <v>7355</v>
      </c>
      <c r="E11" s="48">
        <v>2639504.41</v>
      </c>
      <c r="F11" s="25">
        <v>6149</v>
      </c>
      <c r="G11" s="100">
        <v>3349936</v>
      </c>
      <c r="H11" s="25">
        <v>5808</v>
      </c>
      <c r="I11" s="48">
        <v>4136432</v>
      </c>
      <c r="J11" s="25">
        <v>9699</v>
      </c>
      <c r="K11" s="48">
        <v>9179790</v>
      </c>
      <c r="L11" s="92">
        <f t="shared" si="0"/>
        <v>0.66993801652892571</v>
      </c>
      <c r="M11" s="25">
        <v>10740</v>
      </c>
      <c r="N11" s="51">
        <v>10398300</v>
      </c>
      <c r="O11" s="78">
        <f t="shared" si="1"/>
        <v>0.10733065264460251</v>
      </c>
      <c r="P11" s="25">
        <v>12109</v>
      </c>
      <c r="Q11" s="51">
        <v>8780870</v>
      </c>
      <c r="R11" s="78">
        <f t="shared" si="2"/>
        <v>0.1274674115456238</v>
      </c>
      <c r="S11" s="25">
        <v>15841</v>
      </c>
      <c r="T11" s="51">
        <v>14404648</v>
      </c>
      <c r="U11" s="78">
        <f t="shared" si="3"/>
        <v>0.30820051201585597</v>
      </c>
      <c r="V11" s="79">
        <v>18833</v>
      </c>
      <c r="W11" s="51">
        <v>12962000</v>
      </c>
      <c r="X11" s="78">
        <v>0.18887696483807837</v>
      </c>
      <c r="Y11" s="25">
        <v>11451</v>
      </c>
      <c r="Z11" s="51">
        <v>15803638.560000001</v>
      </c>
      <c r="AA11" s="78">
        <v>-0.39197153931927997</v>
      </c>
      <c r="AB11" s="79">
        <v>9932</v>
      </c>
      <c r="AC11" s="102">
        <v>12898529.34</v>
      </c>
      <c r="AD11" s="183">
        <v>-0.13265217011614705</v>
      </c>
      <c r="AE11" s="79">
        <v>8468</v>
      </c>
      <c r="AF11" s="161">
        <v>5165648.1399999997</v>
      </c>
      <c r="AG11" s="63">
        <v>-0.1474023358840113</v>
      </c>
      <c r="AH11" s="229">
        <v>7921</v>
      </c>
      <c r="AI11" s="161">
        <v>8785684.6400000006</v>
      </c>
      <c r="AJ11" s="227">
        <v>-6.459612659423708E-2</v>
      </c>
      <c r="AK11" s="79">
        <v>6526</v>
      </c>
      <c r="AL11" s="261">
        <v>6041732</v>
      </c>
      <c r="AM11" s="63">
        <v>-0.17611412700416618</v>
      </c>
      <c r="AN11" s="79">
        <v>7827</v>
      </c>
      <c r="AO11" s="160">
        <v>6582577.3499999996</v>
      </c>
      <c r="AP11" s="63">
        <v>0.19935642047195823</v>
      </c>
      <c r="AQ11" s="229">
        <f>'δικ κατά μήν και κοιν 2019-2020'!L10</f>
        <v>16052</v>
      </c>
      <c r="AR11" s="160">
        <v>10074435.75</v>
      </c>
      <c r="AS11" s="63">
        <f>'δικ κατά μήν και κοιν 2019-2020'!M10</f>
        <v>1.0508496230995275</v>
      </c>
    </row>
    <row r="12" spans="1:47" ht="15" customHeight="1" thickBot="1">
      <c r="A12" s="103" t="s">
        <v>24</v>
      </c>
      <c r="B12" s="18">
        <v>7282</v>
      </c>
      <c r="C12" s="104">
        <v>2036403</v>
      </c>
      <c r="D12" s="18">
        <v>7260</v>
      </c>
      <c r="E12" s="56">
        <v>1734611.23</v>
      </c>
      <c r="F12" s="18">
        <v>6516</v>
      </c>
      <c r="G12" s="104">
        <v>2056713</v>
      </c>
      <c r="H12" s="18">
        <v>5954</v>
      </c>
      <c r="I12" s="56">
        <v>2584829.96</v>
      </c>
      <c r="J12" s="18">
        <v>10145</v>
      </c>
      <c r="K12" s="56">
        <v>4954591</v>
      </c>
      <c r="L12" s="105">
        <f t="shared" si="0"/>
        <v>0.70389654014108172</v>
      </c>
      <c r="M12" s="18">
        <v>11103</v>
      </c>
      <c r="N12" s="55">
        <v>6021837</v>
      </c>
      <c r="O12" s="80">
        <f t="shared" si="1"/>
        <v>9.4430754066042288E-2</v>
      </c>
      <c r="P12" s="18">
        <v>12719</v>
      </c>
      <c r="Q12" s="55">
        <v>6967932</v>
      </c>
      <c r="R12" s="80">
        <f t="shared" si="2"/>
        <v>0.14554624876159594</v>
      </c>
      <c r="S12" s="18">
        <v>15488</v>
      </c>
      <c r="T12" s="55">
        <v>9288140</v>
      </c>
      <c r="U12" s="80">
        <f t="shared" si="3"/>
        <v>0.21770579448069816</v>
      </c>
      <c r="V12" s="82">
        <v>18956</v>
      </c>
      <c r="W12" s="55">
        <v>10602509</v>
      </c>
      <c r="X12" s="80">
        <v>0.22391528925619841</v>
      </c>
      <c r="Y12" s="18">
        <v>11520</v>
      </c>
      <c r="Z12" s="55">
        <v>6037919.7999999998</v>
      </c>
      <c r="AA12" s="80">
        <v>-0.39227685165646764</v>
      </c>
      <c r="AB12" s="168">
        <v>9972</v>
      </c>
      <c r="AC12" s="154">
        <v>5320199.95</v>
      </c>
      <c r="AD12" s="185">
        <v>-0.13437500000000002</v>
      </c>
      <c r="AE12" s="82">
        <v>7968</v>
      </c>
      <c r="AF12" s="161">
        <v>4609951.57</v>
      </c>
      <c r="AG12" s="184">
        <v>-0.2009626955475331</v>
      </c>
      <c r="AH12" s="229">
        <v>7160</v>
      </c>
      <c r="AI12" s="161">
        <v>3097782.99</v>
      </c>
      <c r="AJ12" s="228">
        <v>-0.10140562248995988</v>
      </c>
      <c r="AK12" s="82">
        <v>6777</v>
      </c>
      <c r="AL12" s="261">
        <v>3699166.55</v>
      </c>
      <c r="AM12" s="184">
        <v>-5.3491620111731808E-2</v>
      </c>
      <c r="AN12" s="79">
        <v>7355</v>
      </c>
      <c r="AO12" s="262">
        <v>3545723.59</v>
      </c>
      <c r="AP12" s="184">
        <v>8.5288475726722712E-2</v>
      </c>
      <c r="AQ12" s="229">
        <f>'δικ κατά μήν και κοιν 2019-2020'!L11</f>
        <v>10972</v>
      </c>
      <c r="AR12" s="160">
        <v>6821738.9000000004</v>
      </c>
      <c r="AS12" s="63">
        <f>'δικ κατά μήν και κοιν 2019-2020'!M11</f>
        <v>0.4917743031951054</v>
      </c>
      <c r="AT12" s="182"/>
    </row>
    <row r="13" spans="1:47" s="166" customFormat="1" ht="60.75" customHeight="1" thickBot="1">
      <c r="A13" s="172" t="s">
        <v>51</v>
      </c>
      <c r="B13" s="119">
        <f>AVERAGE(B7:B12)</f>
        <v>10821</v>
      </c>
      <c r="C13" s="173">
        <f>SUM(C7:C12)</f>
        <v>19306423</v>
      </c>
      <c r="D13" s="119">
        <f>AVERAGE(D7:D12)</f>
        <v>10981.666666666666</v>
      </c>
      <c r="E13" s="174">
        <f>SUM(E7:E12)</f>
        <v>20464792.640000001</v>
      </c>
      <c r="F13" s="119">
        <f>AVERAGE(F7:F12)</f>
        <v>10405</v>
      </c>
      <c r="G13" s="173">
        <f>SUM(G7:G12)</f>
        <v>20832547</v>
      </c>
      <c r="H13" s="119">
        <f>AVERAGE(H7:H12)</f>
        <v>9514</v>
      </c>
      <c r="I13" s="175">
        <f>SUM(I7:I12)</f>
        <v>34312701.960000001</v>
      </c>
      <c r="J13" s="119">
        <f>AVERAGE(J7:J12)</f>
        <v>12723.5</v>
      </c>
      <c r="K13" s="175">
        <f>SUM(K7:K12)</f>
        <v>41532261</v>
      </c>
      <c r="L13" s="176">
        <f t="shared" si="0"/>
        <v>0.33734496531427371</v>
      </c>
      <c r="M13" s="119">
        <f>AVERAGE(M7:M12)</f>
        <v>15286.5</v>
      </c>
      <c r="N13" s="177">
        <f>SUM(N7:N12)</f>
        <v>52815638</v>
      </c>
      <c r="O13" s="178">
        <f t="shared" si="1"/>
        <v>0.20143828349117765</v>
      </c>
      <c r="P13" s="119">
        <f>AVERAGE(P7:P12)</f>
        <v>16417</v>
      </c>
      <c r="Q13" s="177">
        <f>SUM(Q7:Q12)</f>
        <v>57856684</v>
      </c>
      <c r="R13" s="178">
        <f t="shared" si="2"/>
        <v>7.3954142544074841E-2</v>
      </c>
      <c r="S13" s="119">
        <f>AVERAGE(S7:S12)</f>
        <v>20639.666666666668</v>
      </c>
      <c r="T13" s="177">
        <f>SUM(T7:T12)</f>
        <v>74760740</v>
      </c>
      <c r="U13" s="178">
        <f t="shared" si="3"/>
        <v>0.25721305151164442</v>
      </c>
      <c r="V13" s="119">
        <f>AVERAGE(V7:V12)</f>
        <v>23022.166666666668</v>
      </c>
      <c r="W13" s="177">
        <f>SUM(W7:W12)</f>
        <v>86510539</v>
      </c>
      <c r="X13" s="176">
        <f t="shared" ref="X13" si="4">V13/S13-1</f>
        <v>0.1154330657794862</v>
      </c>
      <c r="Y13" s="164">
        <v>18689.666666666668</v>
      </c>
      <c r="Z13" s="177">
        <v>80032099.620000005</v>
      </c>
      <c r="AA13" s="176">
        <v>-0.18818819543483456</v>
      </c>
      <c r="AB13" s="164">
        <v>16837.833333333332</v>
      </c>
      <c r="AC13" s="177">
        <v>64817046.820000008</v>
      </c>
      <c r="AD13" s="176">
        <v>-9.9083272396511601E-2</v>
      </c>
      <c r="AE13" s="215">
        <v>15062.5</v>
      </c>
      <c r="AF13" s="177">
        <v>56843597.81000001</v>
      </c>
      <c r="AG13" s="193">
        <v>-0.10543716036307116</v>
      </c>
      <c r="AH13" s="230">
        <v>14733.5</v>
      </c>
      <c r="AI13" s="177">
        <v>55314667.990000002</v>
      </c>
      <c r="AJ13" s="193">
        <v>-2.1842323651452333E-2</v>
      </c>
      <c r="AK13" s="243">
        <v>13599.5</v>
      </c>
      <c r="AL13" s="177">
        <v>50344026.359999999</v>
      </c>
      <c r="AM13" s="193">
        <v>-7.6967455119285932E-2</v>
      </c>
      <c r="AN13" s="233">
        <v>15137</v>
      </c>
      <c r="AO13" s="264">
        <v>56236891.489999995</v>
      </c>
      <c r="AP13" s="193">
        <v>0.11305562704511196</v>
      </c>
      <c r="AQ13" s="233">
        <f>AVERAGE(AQ7:AQ12)</f>
        <v>17701.166666666668</v>
      </c>
      <c r="AR13" s="264">
        <f>SUM(AR7:AR12)</f>
        <v>60269176.710000001</v>
      </c>
      <c r="AS13" s="193">
        <f>AQ13/AN13-1</f>
        <v>0.16939728259672782</v>
      </c>
      <c r="AT13" s="266"/>
      <c r="AU13" s="265"/>
    </row>
    <row r="14" spans="1:47" ht="15" customHeight="1">
      <c r="A14" s="106" t="s">
        <v>25</v>
      </c>
      <c r="B14" s="26">
        <v>8708</v>
      </c>
      <c r="C14" s="107">
        <v>1031804</v>
      </c>
      <c r="D14" s="26">
        <v>8866</v>
      </c>
      <c r="E14" s="108">
        <v>2106129</v>
      </c>
      <c r="F14" s="26">
        <v>8061</v>
      </c>
      <c r="G14" s="107">
        <v>1502791</v>
      </c>
      <c r="H14" s="26">
        <v>7529</v>
      </c>
      <c r="I14" s="108">
        <v>2428466</v>
      </c>
      <c r="J14" s="26">
        <v>12127</v>
      </c>
      <c r="K14" s="108">
        <v>5106587</v>
      </c>
      <c r="L14" s="109">
        <f t="shared" si="0"/>
        <v>0.61070527294461407</v>
      </c>
      <c r="M14" s="26">
        <v>12749</v>
      </c>
      <c r="N14" s="60">
        <v>3590014</v>
      </c>
      <c r="O14" s="81">
        <f t="shared" si="1"/>
        <v>5.1290508782056543E-2</v>
      </c>
      <c r="P14" s="26">
        <v>14759</v>
      </c>
      <c r="Q14" s="60">
        <v>3742612</v>
      </c>
      <c r="R14" s="81">
        <f t="shared" si="2"/>
        <v>0.15765942426857005</v>
      </c>
      <c r="S14" s="26">
        <v>17559</v>
      </c>
      <c r="T14" s="60">
        <v>7397094</v>
      </c>
      <c r="U14" s="81">
        <f t="shared" si="3"/>
        <v>0.18971475032183749</v>
      </c>
      <c r="V14" s="110">
        <v>20026</v>
      </c>
      <c r="W14" s="60">
        <v>8606327</v>
      </c>
      <c r="X14" s="81">
        <v>0.14049775044136914</v>
      </c>
      <c r="Y14" s="26">
        <v>12962</v>
      </c>
      <c r="Z14" s="60">
        <v>7529240.8700000001</v>
      </c>
      <c r="AA14" s="111">
        <v>-0.35274143613302711</v>
      </c>
      <c r="AB14" s="170">
        <v>11922</v>
      </c>
      <c r="AC14" s="186">
        <v>5223997.03</v>
      </c>
      <c r="AD14" s="187">
        <v>-8.0234531708069712E-2</v>
      </c>
      <c r="AE14" s="190">
        <v>10340</v>
      </c>
      <c r="AF14" s="60">
        <v>4120406.06</v>
      </c>
      <c r="AG14" s="159">
        <v>-0.13269585639993287</v>
      </c>
      <c r="AH14" s="214">
        <v>9661</v>
      </c>
      <c r="AI14" s="60">
        <v>3724143.08</v>
      </c>
      <c r="AJ14" s="63">
        <v>-6.5667311411992224E-2</v>
      </c>
      <c r="AK14" s="239">
        <v>9399</v>
      </c>
      <c r="AL14" s="186">
        <v>2228316.34</v>
      </c>
      <c r="AM14" s="159">
        <v>-2.7119345823413687E-2</v>
      </c>
      <c r="AN14" s="110">
        <v>9633</v>
      </c>
      <c r="AO14" s="246">
        <v>3900899.23</v>
      </c>
      <c r="AP14" s="112">
        <v>2.4896265560165887E-2</v>
      </c>
      <c r="AQ14" s="229">
        <f>'δικ κατά μήν και κοιν 2019-2020'!L13</f>
        <v>12491</v>
      </c>
      <c r="AR14" s="246">
        <v>7039204.9199999999</v>
      </c>
      <c r="AS14" s="63">
        <f>'δικ κατά μήν και κοιν 2019-2020'!M13</f>
        <v>0.29668846672895266</v>
      </c>
      <c r="AT14" s="318"/>
    </row>
    <row r="15" spans="1:47" ht="15" customHeight="1">
      <c r="A15" s="99" t="s">
        <v>7</v>
      </c>
      <c r="B15" s="25">
        <v>8419</v>
      </c>
      <c r="C15" s="100">
        <v>2904935.01</v>
      </c>
      <c r="D15" s="25">
        <v>8827</v>
      </c>
      <c r="E15" s="48">
        <v>1377861</v>
      </c>
      <c r="F15" s="25">
        <v>7992</v>
      </c>
      <c r="G15" s="100">
        <v>2217876</v>
      </c>
      <c r="H15" s="25">
        <v>7648</v>
      </c>
      <c r="I15" s="48">
        <v>3006346</v>
      </c>
      <c r="J15" s="25">
        <v>12023</v>
      </c>
      <c r="K15" s="48">
        <v>4571245</v>
      </c>
      <c r="L15" s="92">
        <f t="shared" si="0"/>
        <v>0.57204497907949792</v>
      </c>
      <c r="M15" s="25">
        <v>12320</v>
      </c>
      <c r="N15" s="51">
        <v>5135684</v>
      </c>
      <c r="O15" s="78">
        <f t="shared" si="1"/>
        <v>2.470265324794152E-2</v>
      </c>
      <c r="P15" s="25">
        <v>14356</v>
      </c>
      <c r="Q15" s="51">
        <v>5949558</v>
      </c>
      <c r="R15" s="78">
        <f t="shared" si="2"/>
        <v>0.16525974025974022</v>
      </c>
      <c r="S15" s="25">
        <v>16606</v>
      </c>
      <c r="T15" s="51">
        <v>6406861</v>
      </c>
      <c r="U15" s="78">
        <f t="shared" si="3"/>
        <v>0.15672889384229594</v>
      </c>
      <c r="V15" s="79">
        <v>19330</v>
      </c>
      <c r="W15" s="51">
        <v>9095878</v>
      </c>
      <c r="X15" s="78">
        <v>0.16403709502589425</v>
      </c>
      <c r="Y15" s="25">
        <v>12376</v>
      </c>
      <c r="Z15" s="51">
        <v>4793045.2300000004</v>
      </c>
      <c r="AA15" s="101">
        <v>-0.3597516813243663</v>
      </c>
      <c r="AB15" s="79">
        <v>11497</v>
      </c>
      <c r="AC15" s="102">
        <v>4088196.16</v>
      </c>
      <c r="AD15" s="183">
        <v>-7.1024563671622465E-2</v>
      </c>
      <c r="AE15" s="191">
        <v>10709</v>
      </c>
      <c r="AF15" s="102">
        <v>3810781.64</v>
      </c>
      <c r="AG15" s="63">
        <v>-6.8539619031051546E-2</v>
      </c>
      <c r="AH15" s="212">
        <v>9809</v>
      </c>
      <c r="AI15" s="102">
        <v>4342969.79</v>
      </c>
      <c r="AJ15" s="63">
        <v>-8.404146045382388E-2</v>
      </c>
      <c r="AK15" s="240">
        <v>9629</v>
      </c>
      <c r="AL15" s="102">
        <v>5731547</v>
      </c>
      <c r="AM15" s="63">
        <v>-1.835049444387804E-2</v>
      </c>
      <c r="AN15" s="110">
        <v>10054</v>
      </c>
      <c r="AO15" s="246">
        <v>4106014.64</v>
      </c>
      <c r="AP15" s="112">
        <v>4.4137501298161741E-2</v>
      </c>
      <c r="AQ15" s="229">
        <f>'δικ κατά μήν και κοιν 2019-2020'!L14</f>
        <v>12103</v>
      </c>
      <c r="AR15" s="246">
        <v>4233302.59</v>
      </c>
      <c r="AS15" s="63">
        <f>'δικ κατά μήν και κοιν 2019-2020'!M14</f>
        <v>0.20379948279291815</v>
      </c>
    </row>
    <row r="16" spans="1:47" ht="15" customHeight="1">
      <c r="A16" s="99" t="s">
        <v>26</v>
      </c>
      <c r="B16" s="25">
        <v>7846</v>
      </c>
      <c r="C16" s="100">
        <v>2923665.34</v>
      </c>
      <c r="D16" s="25">
        <v>8413</v>
      </c>
      <c r="E16" s="48">
        <v>3020351.79</v>
      </c>
      <c r="F16" s="25">
        <v>7618</v>
      </c>
      <c r="G16" s="100">
        <v>2150669</v>
      </c>
      <c r="H16" s="25">
        <v>6945</v>
      </c>
      <c r="I16" s="48">
        <v>3873569</v>
      </c>
      <c r="J16" s="25">
        <v>11661</v>
      </c>
      <c r="K16" s="48">
        <v>7025665</v>
      </c>
      <c r="L16" s="92">
        <f t="shared" si="0"/>
        <v>0.67904967602591793</v>
      </c>
      <c r="M16" s="25">
        <v>11323</v>
      </c>
      <c r="N16" s="51">
        <v>8542058</v>
      </c>
      <c r="O16" s="78">
        <f t="shared" si="1"/>
        <v>-2.8985507246376829E-2</v>
      </c>
      <c r="P16" s="25">
        <v>13780</v>
      </c>
      <c r="Q16" s="51">
        <v>8229483</v>
      </c>
      <c r="R16" s="78">
        <f t="shared" si="2"/>
        <v>0.21699196326061987</v>
      </c>
      <c r="S16" s="25">
        <v>16394</v>
      </c>
      <c r="T16" s="51">
        <v>11517137</v>
      </c>
      <c r="U16" s="78">
        <f t="shared" si="3"/>
        <v>0.18969521044992743</v>
      </c>
      <c r="V16" s="79">
        <v>19612</v>
      </c>
      <c r="W16" s="51">
        <v>9533807</v>
      </c>
      <c r="X16" s="78">
        <v>0.19629132609491284</v>
      </c>
      <c r="Y16" s="25">
        <v>12280</v>
      </c>
      <c r="Z16" s="51">
        <v>8105076.2800000003</v>
      </c>
      <c r="AA16" s="101">
        <v>-0.37385274321843764</v>
      </c>
      <c r="AB16" s="79">
        <v>9999</v>
      </c>
      <c r="AC16" s="102">
        <v>5349213.13</v>
      </c>
      <c r="AD16" s="183">
        <v>-0.18574918566775245</v>
      </c>
      <c r="AE16" s="191">
        <v>9284</v>
      </c>
      <c r="AF16" s="102">
        <v>6698222.1299999999</v>
      </c>
      <c r="AG16" s="63">
        <v>-7.1507150715071521E-2</v>
      </c>
      <c r="AH16" s="212">
        <v>8058</v>
      </c>
      <c r="AI16" s="102">
        <v>6156472.1299999999</v>
      </c>
      <c r="AJ16" s="63">
        <v>-0.13205514864282641</v>
      </c>
      <c r="AK16" s="240">
        <v>8719</v>
      </c>
      <c r="AL16" s="102">
        <v>5205943</v>
      </c>
      <c r="AM16" s="63">
        <v>8.2030280466617089E-2</v>
      </c>
      <c r="AN16" s="110">
        <v>8919</v>
      </c>
      <c r="AO16" s="246">
        <v>5958143.6500000004</v>
      </c>
      <c r="AP16" s="112">
        <v>2.2938410368161577E-2</v>
      </c>
      <c r="AQ16" s="229">
        <f>'δικ κατά μήν και κοιν 2019-2020'!L15</f>
        <v>9906</v>
      </c>
      <c r="AR16" s="246">
        <v>6789881.5</v>
      </c>
      <c r="AS16" s="63">
        <f>'δικ κατά μήν και κοιν 2019-2020'!M15</f>
        <v>0.11066263033972423</v>
      </c>
    </row>
    <row r="17" spans="1:48" ht="15" customHeight="1">
      <c r="A17" s="99" t="s">
        <v>27</v>
      </c>
      <c r="B17" s="25">
        <v>6917</v>
      </c>
      <c r="C17" s="100">
        <v>1827238</v>
      </c>
      <c r="D17" s="25">
        <v>6743</v>
      </c>
      <c r="E17" s="48">
        <v>2304286</v>
      </c>
      <c r="F17" s="25">
        <v>5798</v>
      </c>
      <c r="G17" s="100">
        <v>2070347</v>
      </c>
      <c r="H17" s="25">
        <v>5771</v>
      </c>
      <c r="I17" s="48">
        <v>3454842</v>
      </c>
      <c r="J17" s="25">
        <v>10381</v>
      </c>
      <c r="K17" s="48">
        <v>5069350</v>
      </c>
      <c r="L17" s="92">
        <f t="shared" si="0"/>
        <v>0.79882169468029796</v>
      </c>
      <c r="M17" s="25">
        <v>9802</v>
      </c>
      <c r="N17" s="51">
        <v>4385709</v>
      </c>
      <c r="O17" s="78">
        <f t="shared" si="1"/>
        <v>-5.5774973509295833E-2</v>
      </c>
      <c r="P17" s="25">
        <v>12259</v>
      </c>
      <c r="Q17" s="51">
        <v>7387566</v>
      </c>
      <c r="R17" s="78">
        <f t="shared" si="2"/>
        <v>0.25066312997347473</v>
      </c>
      <c r="S17" s="25">
        <v>14368</v>
      </c>
      <c r="T17" s="51">
        <v>9890312</v>
      </c>
      <c r="U17" s="78">
        <f t="shared" si="3"/>
        <v>0.172036870870381</v>
      </c>
      <c r="V17" s="79">
        <v>16726</v>
      </c>
      <c r="W17" s="51">
        <v>13392733.119999999</v>
      </c>
      <c r="X17" s="78">
        <v>0.16411469933184852</v>
      </c>
      <c r="Y17" s="25">
        <v>10128</v>
      </c>
      <c r="Z17" s="51">
        <v>6274512.7000000002</v>
      </c>
      <c r="AA17" s="101">
        <v>-0.39447566662680855</v>
      </c>
      <c r="AB17" s="79">
        <v>8308</v>
      </c>
      <c r="AC17" s="102">
        <v>7804219.7999999998</v>
      </c>
      <c r="AD17" s="183">
        <v>-0.17969984202211686</v>
      </c>
      <c r="AE17" s="191">
        <v>8161</v>
      </c>
      <c r="AF17" s="102">
        <v>4473853.51</v>
      </c>
      <c r="AG17" s="63">
        <v>-1.7693789118921499E-2</v>
      </c>
      <c r="AH17" s="212">
        <v>6604</v>
      </c>
      <c r="AI17" s="102">
        <v>3411799.89</v>
      </c>
      <c r="AJ17" s="63">
        <v>-0.19078544296042155</v>
      </c>
      <c r="AK17" s="240">
        <v>6840</v>
      </c>
      <c r="AL17" s="102">
        <v>3585385.94</v>
      </c>
      <c r="AM17" s="63">
        <v>3.5735917625681513E-2</v>
      </c>
      <c r="AN17" s="110">
        <v>6679</v>
      </c>
      <c r="AO17" s="246">
        <v>5085538.91</v>
      </c>
      <c r="AP17" s="112">
        <v>-2.3538011695906413E-2</v>
      </c>
      <c r="AQ17" s="229">
        <f>'δικ κατά μήν και κοιν 2019-2020'!L16</f>
        <v>8145</v>
      </c>
      <c r="AR17" s="246">
        <v>7652377.8700000001</v>
      </c>
      <c r="AS17" s="63">
        <f>'δικ κατά μήν και κοιν 2019-2020'!M16</f>
        <v>0.21949393621799662</v>
      </c>
      <c r="AT17" t="s">
        <v>152</v>
      </c>
    </row>
    <row r="18" spans="1:48" ht="15" customHeight="1">
      <c r="A18" s="99" t="s">
        <v>28</v>
      </c>
      <c r="B18" s="25">
        <v>10002</v>
      </c>
      <c r="C18" s="100">
        <v>1990787</v>
      </c>
      <c r="D18" s="25">
        <v>10026</v>
      </c>
      <c r="E18" s="48">
        <v>2463829</v>
      </c>
      <c r="F18" s="25">
        <v>8930</v>
      </c>
      <c r="G18" s="100">
        <v>1916507</v>
      </c>
      <c r="H18" s="25">
        <v>9212</v>
      </c>
      <c r="I18" s="48">
        <v>2912126</v>
      </c>
      <c r="J18" s="25">
        <v>14716</v>
      </c>
      <c r="K18" s="48">
        <v>7174890</v>
      </c>
      <c r="L18" s="92">
        <f t="shared" si="0"/>
        <v>0.59748154580981327</v>
      </c>
      <c r="M18" s="25">
        <v>13996</v>
      </c>
      <c r="N18" s="51">
        <v>6514316</v>
      </c>
      <c r="O18" s="78">
        <f t="shared" si="1"/>
        <v>-4.8926338678988879E-2</v>
      </c>
      <c r="P18" s="25">
        <v>17523</v>
      </c>
      <c r="Q18" s="51">
        <v>8227126</v>
      </c>
      <c r="R18" s="78">
        <f t="shared" si="2"/>
        <v>0.25200057159188338</v>
      </c>
      <c r="S18" s="25">
        <v>19761</v>
      </c>
      <c r="T18" s="51">
        <v>7834516</v>
      </c>
      <c r="U18" s="78">
        <f t="shared" si="3"/>
        <v>0.12771785653141587</v>
      </c>
      <c r="V18" s="79">
        <v>21240</v>
      </c>
      <c r="W18" s="51">
        <v>14301504</v>
      </c>
      <c r="X18" s="78">
        <v>7.484439046606961E-2</v>
      </c>
      <c r="Y18" s="25">
        <v>17543</v>
      </c>
      <c r="Z18" s="102">
        <v>4760848.29</v>
      </c>
      <c r="AA18" s="101">
        <v>-0.17405838041431265</v>
      </c>
      <c r="AB18" s="79">
        <v>16302</v>
      </c>
      <c r="AC18" s="102">
        <v>5176106.72</v>
      </c>
      <c r="AD18" s="183">
        <v>-7.0740466282847914E-2</v>
      </c>
      <c r="AE18" s="191">
        <v>15334</v>
      </c>
      <c r="AF18" s="102">
        <v>4954848.5999999996</v>
      </c>
      <c r="AG18" s="63">
        <v>-5.9379217273954121E-2</v>
      </c>
      <c r="AH18" s="212">
        <v>14077</v>
      </c>
      <c r="AI18" s="102">
        <v>2997511.52</v>
      </c>
      <c r="AJ18" s="63">
        <v>-8.1974696752315168E-2</v>
      </c>
      <c r="AK18" s="240">
        <v>15365</v>
      </c>
      <c r="AL18" s="102">
        <v>3793670.84</v>
      </c>
      <c r="AM18" s="63">
        <v>9.1496767777225152E-2</v>
      </c>
      <c r="AN18" s="110">
        <v>14735</v>
      </c>
      <c r="AO18" s="246">
        <v>4509396.24</v>
      </c>
      <c r="AP18" s="112">
        <v>-4.1002277904327977E-2</v>
      </c>
      <c r="AQ18" s="229">
        <f>'δικ κατά μήν και κοιν 2019-2020'!L17</f>
        <v>8359</v>
      </c>
      <c r="AR18" s="246">
        <v>4921849.68</v>
      </c>
      <c r="AS18" s="63">
        <f>'δικ κατά μήν και κοιν 2019-2020'!M17</f>
        <v>-0.43271123176111304</v>
      </c>
      <c r="AT18" t="s">
        <v>153</v>
      </c>
    </row>
    <row r="19" spans="1:48" ht="15" customHeight="1" thickBot="1">
      <c r="A19" s="103" t="s">
        <v>29</v>
      </c>
      <c r="B19" s="18">
        <v>13093</v>
      </c>
      <c r="C19" s="104">
        <v>1935627</v>
      </c>
      <c r="D19" s="18">
        <v>12931</v>
      </c>
      <c r="E19" s="56">
        <v>1815997</v>
      </c>
      <c r="F19" s="18">
        <v>12041</v>
      </c>
      <c r="G19" s="104">
        <v>1472275</v>
      </c>
      <c r="H19" s="18">
        <v>12724</v>
      </c>
      <c r="I19" s="56">
        <v>3423575</v>
      </c>
      <c r="J19" s="18">
        <v>18370</v>
      </c>
      <c r="K19" s="56">
        <v>7432835</v>
      </c>
      <c r="L19" s="105">
        <f t="shared" si="0"/>
        <v>0.44372838729959141</v>
      </c>
      <c r="M19" s="18">
        <v>18115</v>
      </c>
      <c r="N19" s="55">
        <v>4825777</v>
      </c>
      <c r="O19" s="80">
        <f t="shared" si="1"/>
        <v>-1.3881328252585701E-2</v>
      </c>
      <c r="P19" s="18">
        <v>22051</v>
      </c>
      <c r="Q19" s="55">
        <v>6997865</v>
      </c>
      <c r="R19" s="80">
        <f t="shared" si="2"/>
        <v>0.21727849848192116</v>
      </c>
      <c r="S19" s="18">
        <v>24195</v>
      </c>
      <c r="T19" s="55">
        <v>6661968</v>
      </c>
      <c r="U19" s="80">
        <f t="shared" si="3"/>
        <v>9.7229150605414816E-2</v>
      </c>
      <c r="V19" s="82">
        <v>24855</v>
      </c>
      <c r="W19" s="55">
        <v>8462540.4199999999</v>
      </c>
      <c r="X19" s="80">
        <v>2.7278363298202102E-2</v>
      </c>
      <c r="Y19" s="18">
        <v>21335</v>
      </c>
      <c r="Z19" s="55">
        <v>5118992.74</v>
      </c>
      <c r="AA19" s="121">
        <v>-0.14162140414403546</v>
      </c>
      <c r="AB19" s="168">
        <v>20543</v>
      </c>
      <c r="AC19" s="154">
        <v>4820164.46</v>
      </c>
      <c r="AD19" s="185">
        <v>-3.7122099835950273E-2</v>
      </c>
      <c r="AE19" s="192">
        <v>20230</v>
      </c>
      <c r="AF19" s="154">
        <v>4347479.6900000004</v>
      </c>
      <c r="AG19" s="184">
        <v>-1.5236333544273006E-2</v>
      </c>
      <c r="AH19" s="213">
        <v>19166</v>
      </c>
      <c r="AI19" s="154">
        <v>3915249</v>
      </c>
      <c r="AJ19" s="184">
        <v>-5.2595155709342589E-2</v>
      </c>
      <c r="AK19" s="241">
        <v>20334</v>
      </c>
      <c r="AL19" s="154">
        <v>4803686.4800000004</v>
      </c>
      <c r="AM19" s="184">
        <v>6.0941250130439384E-2</v>
      </c>
      <c r="AN19" s="259">
        <v>19311</v>
      </c>
      <c r="AO19" s="246">
        <v>3089984.96</v>
      </c>
      <c r="AP19" s="112">
        <v>-5.0309825907347339E-2</v>
      </c>
      <c r="AQ19" s="229">
        <f>'δικ κατά μήν και κοιν 2019-2020'!L18</f>
        <v>8767</v>
      </c>
      <c r="AR19" s="246">
        <v>5054876</v>
      </c>
      <c r="AS19" s="63">
        <f>'δικ κατά μήν και κοιν 2019-2020'!M18</f>
        <v>-0.54601004608772197</v>
      </c>
    </row>
    <row r="20" spans="1:48" ht="63" customHeight="1" thickBot="1">
      <c r="A20" s="113" t="s">
        <v>52</v>
      </c>
      <c r="B20" s="122">
        <f>AVERAGE(B14:B19)</f>
        <v>9164.1666666666661</v>
      </c>
      <c r="C20" s="114">
        <f>SUM(C14:C19)</f>
        <v>12614056.35</v>
      </c>
      <c r="D20" s="123">
        <f>AVERAGE(D14:D19)</f>
        <v>9301</v>
      </c>
      <c r="E20" s="115">
        <f>SUM(E14:E19)</f>
        <v>13088453.789999999</v>
      </c>
      <c r="F20" s="122">
        <f>AVERAGE(F14:F19)</f>
        <v>8406.6666666666661</v>
      </c>
      <c r="G20" s="114">
        <f>SUM(G14:G19)</f>
        <v>11330465</v>
      </c>
      <c r="H20" s="96">
        <f>AVERAGE(H14:H19)</f>
        <v>8304.8333333333339</v>
      </c>
      <c r="I20" s="116">
        <f>SUM(I14:I19)</f>
        <v>19098924</v>
      </c>
      <c r="J20" s="96">
        <f>AVERAGE(J14:J19)</f>
        <v>13213</v>
      </c>
      <c r="K20" s="116">
        <f>SUM(K14:K19)</f>
        <v>36380572</v>
      </c>
      <c r="L20" s="117">
        <f t="shared" si="0"/>
        <v>0.59100122418671841</v>
      </c>
      <c r="M20" s="65">
        <f>AVERAGE(M14:M19)</f>
        <v>13050.833333333334</v>
      </c>
      <c r="N20" s="62">
        <f>SUM(N14:N19)</f>
        <v>32993558</v>
      </c>
      <c r="O20" s="118">
        <f t="shared" si="1"/>
        <v>-1.2273266227704971E-2</v>
      </c>
      <c r="P20" s="65">
        <f>AVERAGE(P14:P19)</f>
        <v>15788</v>
      </c>
      <c r="Q20" s="62">
        <f>SUM(Q14:Q19)</f>
        <v>40534210</v>
      </c>
      <c r="R20" s="120">
        <f t="shared" si="2"/>
        <v>0.2097311793627481</v>
      </c>
      <c r="S20" s="65">
        <f>AVERAGE(S14:S19)</f>
        <v>18147.166666666668</v>
      </c>
      <c r="T20" s="62">
        <f>SUM(T14:T19)</f>
        <v>49707888</v>
      </c>
      <c r="U20" s="120">
        <f t="shared" si="3"/>
        <v>0.14942783548686767</v>
      </c>
      <c r="V20" s="119">
        <f>AVERAGE(V14:V19)</f>
        <v>20298.166666666668</v>
      </c>
      <c r="W20" s="62">
        <f>SUM(W14:W19)</f>
        <v>63392789.539999999</v>
      </c>
      <c r="X20" s="118">
        <f>V20/S20-1</f>
        <v>0.1185309001405177</v>
      </c>
      <c r="Y20" s="119">
        <f>AVERAGE(Y14:Y19)</f>
        <v>14437.333333333334</v>
      </c>
      <c r="Z20" s="62">
        <v>36581716.109999999</v>
      </c>
      <c r="AA20" s="178">
        <f>(Y20/V20)-1</f>
        <v>-0.28873707806123705</v>
      </c>
      <c r="AB20" s="169">
        <v>13095.166666666666</v>
      </c>
      <c r="AC20" s="177">
        <v>32461897.300000001</v>
      </c>
      <c r="AD20" s="216">
        <v>-9.2964998152936906E-2</v>
      </c>
      <c r="AE20" s="189">
        <v>12343</v>
      </c>
      <c r="AF20" s="62">
        <v>28405591.629999999</v>
      </c>
      <c r="AG20" s="193">
        <v>-5.7438495119064292E-2</v>
      </c>
      <c r="AH20" s="248">
        <v>11229.166666666666</v>
      </c>
      <c r="AI20" s="62">
        <v>24548145.41</v>
      </c>
      <c r="AJ20" s="193">
        <v>-9.0240082097815311E-2</v>
      </c>
      <c r="AK20" s="189">
        <v>11714.333333333334</v>
      </c>
      <c r="AL20" s="175">
        <v>25348549.599999998</v>
      </c>
      <c r="AM20" s="193">
        <v>4.3205936920222676E-2</v>
      </c>
      <c r="AN20" s="189">
        <v>11555.166666666666</v>
      </c>
      <c r="AO20" s="177">
        <v>26649977.630000003</v>
      </c>
      <c r="AP20" s="124">
        <v>-1.3587343140881614E-2</v>
      </c>
      <c r="AQ20" s="233">
        <f>AVERAGE(AQ14:AQ19)</f>
        <v>9961.8333333333339</v>
      </c>
      <c r="AR20" s="264">
        <f>SUM(AR14:AR19)</f>
        <v>35691492.560000002</v>
      </c>
      <c r="AS20" s="124">
        <f>AQ20/AN20-1</f>
        <v>-0.13788925588841927</v>
      </c>
    </row>
    <row r="21" spans="1:48" ht="46.5" customHeight="1" thickBot="1">
      <c r="A21" s="113" t="s">
        <v>53</v>
      </c>
      <c r="B21" s="96">
        <f>AVERAGE(B13,B20)</f>
        <v>9992.5833333333321</v>
      </c>
      <c r="C21" s="125">
        <f>SUM(C13,C20)</f>
        <v>31920479.350000001</v>
      </c>
      <c r="D21" s="96">
        <f>AVERAGE(D13,D20)</f>
        <v>10141.333333333332</v>
      </c>
      <c r="E21" s="126">
        <f>SUM(E13,E20)</f>
        <v>33553246.43</v>
      </c>
      <c r="F21" s="96">
        <f>AVERAGE(F13,F20)</f>
        <v>9405.8333333333321</v>
      </c>
      <c r="G21" s="125">
        <f>SUM(G13,G20)</f>
        <v>32163012</v>
      </c>
      <c r="H21" s="96">
        <f>AVERAGE(H7:H12,H14:H19)</f>
        <v>8909.4166666666661</v>
      </c>
      <c r="I21" s="127">
        <f>SUM(I13,I20)</f>
        <v>53411625.960000001</v>
      </c>
      <c r="J21" s="96">
        <f>AVERAGE(J7:J12,J14:J19)</f>
        <v>12968.25</v>
      </c>
      <c r="K21" s="128">
        <f>SUM(K13,K20)</f>
        <v>77912833</v>
      </c>
      <c r="L21" s="117">
        <f t="shared" si="0"/>
        <v>0.45556667570828635</v>
      </c>
      <c r="M21" s="65">
        <f>AVERAGE(M7:M12,M14:M19)</f>
        <v>14168.666666666666</v>
      </c>
      <c r="N21" s="62">
        <f>SUM(N13,N20)</f>
        <v>85809196</v>
      </c>
      <c r="O21" s="118">
        <f t="shared" si="1"/>
        <v>9.2565817798597738E-2</v>
      </c>
      <c r="P21" s="65">
        <f>AVERAGE(P7:P12,P14:P19)</f>
        <v>16102.5</v>
      </c>
      <c r="Q21" s="62">
        <f>SUM(Q13,Q20)</f>
        <v>98390894</v>
      </c>
      <c r="R21" s="120">
        <f t="shared" si="2"/>
        <v>0.13648661365454284</v>
      </c>
      <c r="S21" s="65">
        <f>AVERAGE(S7:S12,S14:S19)</f>
        <v>19393.416666666668</v>
      </c>
      <c r="T21" s="62">
        <f>SUM(T13,T20)</f>
        <v>124468628</v>
      </c>
      <c r="U21" s="120">
        <f t="shared" si="3"/>
        <v>0.20437302696268711</v>
      </c>
      <c r="V21" s="129">
        <f>AVERAGE(V7:V12,V14:V19)</f>
        <v>21660.166666666668</v>
      </c>
      <c r="W21" s="62">
        <f>SUM(W13,W20)</f>
        <v>149903328.53999999</v>
      </c>
      <c r="X21" s="120">
        <f>V21/S21-1</f>
        <v>0.11688244722221031</v>
      </c>
      <c r="Y21" s="129">
        <f>AVERAGE(Y7:Y12,Y14:Y19)</f>
        <v>16563.5</v>
      </c>
      <c r="Z21" s="62">
        <v>116613815.73</v>
      </c>
      <c r="AA21" s="176">
        <f>(Y21/V21)-1</f>
        <v>-0.23530135963866083</v>
      </c>
      <c r="AB21" s="167">
        <v>14966.5</v>
      </c>
      <c r="AC21" s="177">
        <v>97278944.120000005</v>
      </c>
      <c r="AD21" s="217">
        <v>-9.6416820116521307E-2</v>
      </c>
      <c r="AE21" s="190">
        <v>13702.75</v>
      </c>
      <c r="AF21" s="62">
        <v>85249189.440000013</v>
      </c>
      <c r="AG21" s="218">
        <v>-8.4438579494203747E-2</v>
      </c>
      <c r="AH21" s="189">
        <v>12981.333333333332</v>
      </c>
      <c r="AI21" s="62">
        <v>79862813.400000006</v>
      </c>
      <c r="AJ21" s="218">
        <v>-5.2647582906107715E-2</v>
      </c>
      <c r="AK21" s="244">
        <v>12656.916666666668</v>
      </c>
      <c r="AL21" s="177">
        <v>75692575.959999993</v>
      </c>
      <c r="AM21" s="218">
        <v>-2.4991012736236495E-2</v>
      </c>
      <c r="AN21" s="244">
        <v>13346.083333333332</v>
      </c>
      <c r="AO21" s="62">
        <v>82886869.120000005</v>
      </c>
      <c r="AP21" s="193">
        <v>5.4449806759149899E-2</v>
      </c>
      <c r="AQ21" s="215">
        <f>AVERAGE(AQ13,AQ20)</f>
        <v>13831.5</v>
      </c>
      <c r="AR21" s="62">
        <f>SUM(AR20,AR13)</f>
        <v>95960669.270000011</v>
      </c>
      <c r="AS21" s="193">
        <f>AQ21/AN21-1</f>
        <v>3.6371469782020993E-2</v>
      </c>
    </row>
    <row r="22" spans="1:48" ht="29.25" customHeight="1" thickBot="1">
      <c r="A22" s="130" t="s">
        <v>56</v>
      </c>
      <c r="B22" s="131"/>
      <c r="C22" s="131"/>
      <c r="D22" s="131"/>
      <c r="E22" s="131"/>
      <c r="F22" s="131"/>
      <c r="G22" s="132">
        <v>54812341</v>
      </c>
      <c r="H22" s="133"/>
      <c r="I22" s="127">
        <v>54291437</v>
      </c>
      <c r="J22" s="133"/>
      <c r="K22" s="128">
        <v>77869786</v>
      </c>
      <c r="L22" s="134"/>
      <c r="M22" s="135"/>
      <c r="N22" s="62">
        <v>85809195</v>
      </c>
      <c r="O22" s="136"/>
      <c r="P22" s="65"/>
      <c r="Q22" s="62">
        <v>98390894</v>
      </c>
      <c r="R22" s="120"/>
      <c r="S22" s="65"/>
      <c r="T22" s="62">
        <v>124468629</v>
      </c>
      <c r="U22" s="120"/>
      <c r="V22" s="129"/>
      <c r="W22" s="62">
        <v>150239188</v>
      </c>
      <c r="X22" s="120"/>
      <c r="Y22" s="129"/>
      <c r="Z22" s="62">
        <v>117040680</v>
      </c>
      <c r="AA22" s="120"/>
      <c r="AB22" s="167"/>
      <c r="AC22" s="177">
        <v>97619229</v>
      </c>
      <c r="AD22" s="188"/>
      <c r="AE22" s="167"/>
      <c r="AF22" s="177">
        <v>85901796.439999998</v>
      </c>
      <c r="AG22" s="74"/>
      <c r="AH22" s="189"/>
      <c r="AI22" s="177">
        <v>81444713.709999993</v>
      </c>
      <c r="AJ22" s="74"/>
      <c r="AK22" s="242"/>
      <c r="AL22" s="177">
        <v>76242272</v>
      </c>
      <c r="AM22" s="74"/>
      <c r="AN22" s="260"/>
      <c r="AO22" s="177">
        <v>83575236</v>
      </c>
      <c r="AP22" s="74"/>
      <c r="AQ22" s="189"/>
      <c r="AR22" s="177">
        <v>109993121.71999998</v>
      </c>
      <c r="AS22" s="74"/>
    </row>
    <row r="23" spans="1:48" ht="10.5" customHeight="1">
      <c r="A23" s="43"/>
      <c r="B23" s="44"/>
      <c r="C23" s="44"/>
      <c r="D23" s="44"/>
      <c r="E23" s="44"/>
      <c r="F23" s="44"/>
      <c r="G23" s="44"/>
      <c r="H23" s="40"/>
      <c r="I23" s="45"/>
      <c r="J23" s="40"/>
      <c r="K23" s="41"/>
      <c r="L23" s="36"/>
      <c r="M23" s="36"/>
      <c r="N23" s="42"/>
      <c r="O23" s="11"/>
      <c r="P23" s="11"/>
      <c r="Q23" s="46"/>
    </row>
    <row r="24" spans="1:48" ht="30" customHeight="1">
      <c r="A24" s="526" t="s">
        <v>55</v>
      </c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/>
      <c r="AA24" s="526"/>
    </row>
    <row r="25" spans="1:48">
      <c r="A25" s="533" t="s">
        <v>126</v>
      </c>
      <c r="B25" s="533"/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3"/>
      <c r="Y25" s="533"/>
      <c r="Z25" s="533"/>
      <c r="AA25" s="533"/>
      <c r="AI25" s="75"/>
      <c r="AL25" s="75"/>
      <c r="AO25" s="247"/>
      <c r="AR25" s="247"/>
    </row>
    <row r="26" spans="1:48">
      <c r="A26" s="534" t="s">
        <v>54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  <c r="W26" s="534"/>
      <c r="X26" s="534"/>
      <c r="Y26" s="534"/>
      <c r="Z26" s="534"/>
      <c r="AA26" s="534"/>
    </row>
    <row r="27" spans="1:48" ht="24" customHeight="1">
      <c r="A27" s="513" t="s">
        <v>155</v>
      </c>
      <c r="B27" s="513"/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  <c r="AE27" s="513"/>
      <c r="AF27" s="513"/>
      <c r="AG27" s="513"/>
      <c r="AH27" s="513"/>
      <c r="AI27" s="513"/>
      <c r="AJ27" s="513"/>
      <c r="AK27" s="513"/>
      <c r="AL27" s="513"/>
      <c r="AM27" s="513"/>
      <c r="AN27" s="513"/>
      <c r="AO27" s="513"/>
      <c r="AP27" s="513"/>
      <c r="AQ27" s="513"/>
      <c r="AR27" s="513"/>
      <c r="AS27" s="513"/>
      <c r="AT27" s="319"/>
      <c r="AU27" s="319"/>
      <c r="AV27" s="319"/>
    </row>
    <row r="28" spans="1:48">
      <c r="A28" s="29"/>
      <c r="B28" s="28"/>
      <c r="C28" s="28"/>
      <c r="D28" s="28"/>
      <c r="E28" s="28"/>
      <c r="F28" s="499"/>
      <c r="G28" s="499"/>
      <c r="H28" s="33"/>
      <c r="N28" s="30"/>
      <c r="O28" s="30"/>
      <c r="P28" s="30"/>
      <c r="AI28" s="75"/>
    </row>
    <row r="29" spans="1:48">
      <c r="A29" s="31" t="s">
        <v>145</v>
      </c>
      <c r="B29" s="31"/>
      <c r="C29" s="31"/>
      <c r="D29" s="31"/>
      <c r="E29" s="31"/>
      <c r="F29" s="30"/>
      <c r="G29" s="30"/>
      <c r="H29" s="32"/>
      <c r="I29" s="28"/>
      <c r="J29" s="29"/>
      <c r="K29" s="30"/>
      <c r="L29" s="30"/>
      <c r="M29" s="30"/>
      <c r="N29" s="30"/>
      <c r="O29" s="37"/>
      <c r="P29" s="30"/>
      <c r="Q29" s="28"/>
      <c r="R29" s="28"/>
      <c r="S29" s="28"/>
      <c r="T29" s="28"/>
      <c r="U29" s="30"/>
      <c r="V29" s="70"/>
      <c r="W29" s="28"/>
      <c r="X29" s="28"/>
      <c r="Y29" s="28"/>
      <c r="Z29" s="30"/>
      <c r="AA29" s="28"/>
      <c r="AE29" s="28"/>
      <c r="AF29" s="28"/>
      <c r="AG29" s="28"/>
      <c r="AH29" s="171"/>
      <c r="AJ29" s="28"/>
      <c r="AR29" s="72" t="s">
        <v>12</v>
      </c>
    </row>
    <row r="30" spans="1:48">
      <c r="A30" s="29">
        <f>'δικ κατά μήν και κοιν 2019-2020'!A26</f>
        <v>44495</v>
      </c>
      <c r="B30" s="28"/>
      <c r="C30" s="28"/>
      <c r="D30" s="28"/>
      <c r="E30" s="28"/>
      <c r="F30" s="499"/>
      <c r="G30" s="499"/>
      <c r="H30" s="33"/>
      <c r="I30" s="28"/>
      <c r="J30" s="28"/>
      <c r="K30" s="28"/>
      <c r="L30" s="28"/>
      <c r="M30" s="28"/>
      <c r="N30" s="30"/>
      <c r="O30" s="30"/>
      <c r="P30" s="30"/>
      <c r="Q30" s="28"/>
      <c r="R30" s="28"/>
      <c r="S30" s="28"/>
      <c r="T30" s="28"/>
      <c r="U30" s="30"/>
      <c r="V30" s="70"/>
      <c r="W30" s="28"/>
      <c r="X30" s="28"/>
      <c r="Y30" s="28"/>
      <c r="Z30" s="30"/>
      <c r="AA30" s="28"/>
      <c r="AE30" s="28"/>
      <c r="AF30" s="28"/>
      <c r="AG30" s="28"/>
      <c r="AH30" s="171"/>
      <c r="AJ30" s="28"/>
      <c r="AR30" s="72" t="s">
        <v>11</v>
      </c>
    </row>
    <row r="31" spans="1:48">
      <c r="A31" s="29"/>
      <c r="B31" s="28"/>
      <c r="C31" s="28"/>
      <c r="D31" s="28"/>
      <c r="E31" s="28"/>
      <c r="F31" s="499"/>
      <c r="G31" s="499"/>
      <c r="H31" s="33"/>
      <c r="I31" s="28"/>
      <c r="J31" s="28"/>
      <c r="K31" s="28"/>
      <c r="L31" s="28"/>
      <c r="M31" s="28"/>
      <c r="N31" s="30"/>
      <c r="O31" s="30"/>
      <c r="P31" s="30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171"/>
      <c r="AC31" s="28"/>
      <c r="AD31" s="28"/>
      <c r="AE31" s="28"/>
      <c r="AF31" s="28"/>
      <c r="AG31" s="28"/>
      <c r="AI31" s="75"/>
    </row>
    <row r="35" spans="1:1">
      <c r="A35" s="19"/>
    </row>
    <row r="38" spans="1:1" ht="8.25" customHeight="1"/>
    <row r="39" spans="1:1" hidden="1"/>
    <row r="40" spans="1:1" hidden="1"/>
    <row r="41" spans="1:1" hidden="1"/>
    <row r="42" spans="1:1" hidden="1"/>
    <row r="43" spans="1:1" hidden="1"/>
    <row r="44" spans="1:1" hidden="1"/>
    <row r="45" spans="1:1" hidden="1"/>
    <row r="46" spans="1:1" hidden="1"/>
    <row r="47" spans="1:1" hidden="1"/>
    <row r="48" spans="1: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59">
    <mergeCell ref="AQ4:AR4"/>
    <mergeCell ref="AS4:AS6"/>
    <mergeCell ref="AQ5:AQ6"/>
    <mergeCell ref="AR5:AR6"/>
    <mergeCell ref="AE5:AE6"/>
    <mergeCell ref="AH5:AH6"/>
    <mergeCell ref="U4:U6"/>
    <mergeCell ref="AB4:AC4"/>
    <mergeCell ref="AD4:AD6"/>
    <mergeCell ref="AC5:AC6"/>
    <mergeCell ref="V5:V6"/>
    <mergeCell ref="A2:AM2"/>
    <mergeCell ref="F31:G31"/>
    <mergeCell ref="Q5:Q6"/>
    <mergeCell ref="F28:G28"/>
    <mergeCell ref="F30:G30"/>
    <mergeCell ref="A25:AA25"/>
    <mergeCell ref="A26:AA26"/>
    <mergeCell ref="Z5:Z6"/>
    <mergeCell ref="I5:I6"/>
    <mergeCell ref="L4:L6"/>
    <mergeCell ref="S4:T4"/>
    <mergeCell ref="K5:K6"/>
    <mergeCell ref="F4:G4"/>
    <mergeCell ref="AK4:AL4"/>
    <mergeCell ref="AF5:AF6"/>
    <mergeCell ref="AI5:AI6"/>
    <mergeCell ref="J4:K4"/>
    <mergeCell ref="A24:AA24"/>
    <mergeCell ref="AA4:AA6"/>
    <mergeCell ref="B4:C4"/>
    <mergeCell ref="D4:E4"/>
    <mergeCell ref="P4:Q4"/>
    <mergeCell ref="T5:T6"/>
    <mergeCell ref="R4:R6"/>
    <mergeCell ref="H4:I4"/>
    <mergeCell ref="V4:W4"/>
    <mergeCell ref="X4:X6"/>
    <mergeCell ref="W5:W6"/>
    <mergeCell ref="N5:N6"/>
    <mergeCell ref="A4:A6"/>
    <mergeCell ref="O4:O6"/>
    <mergeCell ref="Y4:Z4"/>
    <mergeCell ref="A27:AS27"/>
    <mergeCell ref="M4:N4"/>
    <mergeCell ref="S5:S6"/>
    <mergeCell ref="AN4:AO4"/>
    <mergeCell ref="AP4:AP6"/>
    <mergeCell ref="AN5:AN6"/>
    <mergeCell ref="AO5:AO6"/>
    <mergeCell ref="AM4:AM6"/>
    <mergeCell ref="AK5:AK6"/>
    <mergeCell ref="Y5:Y6"/>
    <mergeCell ref="AB5:AB6"/>
    <mergeCell ref="AE4:AF4"/>
    <mergeCell ref="AG4:AG6"/>
    <mergeCell ref="AH4:AI4"/>
    <mergeCell ref="AJ4:AJ6"/>
    <mergeCell ref="AL5:AL6"/>
  </mergeCells>
  <phoneticPr fontId="0" type="noConversion"/>
  <pageMargins left="0" right="0.25" top="0.75" bottom="0.75" header="0.3" footer="0.3"/>
  <pageSetup paperSize="9" scale="5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topLeftCell="A22" zoomScale="70" zoomScaleNormal="70" workbookViewId="0">
      <selection activeCell="C13" sqref="C13"/>
    </sheetView>
  </sheetViews>
  <sheetFormatPr defaultRowHeight="12"/>
  <cols>
    <col min="1" max="1" width="5.5703125" style="28" customWidth="1"/>
    <col min="2" max="2" width="58" style="28" customWidth="1"/>
    <col min="3" max="5" width="12.7109375" style="28" customWidth="1"/>
    <col min="6" max="6" width="12.7109375" style="171" customWidth="1"/>
    <col min="7" max="7" width="12.7109375" style="28" customWidth="1"/>
    <col min="8" max="8" width="11" style="28" customWidth="1"/>
    <col min="9" max="9" width="9.140625" style="28"/>
    <col min="10" max="10" width="10.5703125" style="28" bestFit="1" customWidth="1"/>
    <col min="11" max="16384" width="9.140625" style="28"/>
  </cols>
  <sheetData>
    <row r="1" spans="1:8" ht="19.5" customHeight="1">
      <c r="A1" s="332" t="s">
        <v>103</v>
      </c>
      <c r="B1" s="34"/>
    </row>
    <row r="2" spans="1:8" ht="28.5" customHeight="1">
      <c r="A2" s="541" t="s">
        <v>130</v>
      </c>
      <c r="B2" s="541"/>
      <c r="C2" s="541"/>
      <c r="D2" s="541"/>
      <c r="E2" s="541"/>
      <c r="F2" s="541"/>
      <c r="G2" s="541"/>
      <c r="H2" s="541"/>
    </row>
    <row r="3" spans="1:8" ht="6" customHeight="1" thickBot="1">
      <c r="A3" s="540"/>
      <c r="B3" s="540"/>
      <c r="C3" s="540"/>
    </row>
    <row r="4" spans="1:8" ht="15.75" customHeight="1">
      <c r="A4" s="333"/>
      <c r="B4" s="334"/>
      <c r="C4" s="543" t="s">
        <v>59</v>
      </c>
      <c r="D4" s="544"/>
      <c r="E4" s="544"/>
      <c r="F4" s="544"/>
      <c r="G4" s="544"/>
      <c r="H4" s="545"/>
    </row>
    <row r="5" spans="1:8" ht="17.25" customHeight="1">
      <c r="A5" s="335" t="s">
        <v>60</v>
      </c>
      <c r="B5" s="336" t="s">
        <v>61</v>
      </c>
      <c r="C5" s="547" t="s">
        <v>62</v>
      </c>
      <c r="D5" s="548"/>
      <c r="E5" s="548" t="s">
        <v>63</v>
      </c>
      <c r="F5" s="548"/>
      <c r="G5" s="548" t="s">
        <v>6</v>
      </c>
      <c r="H5" s="542" t="s">
        <v>112</v>
      </c>
    </row>
    <row r="6" spans="1:8" ht="24">
      <c r="A6" s="91"/>
      <c r="B6" s="337"/>
      <c r="C6" s="338" t="s">
        <v>64</v>
      </c>
      <c r="D6" s="322" t="s">
        <v>65</v>
      </c>
      <c r="E6" s="322" t="s">
        <v>65</v>
      </c>
      <c r="F6" s="324" t="s">
        <v>66</v>
      </c>
      <c r="G6" s="548"/>
      <c r="H6" s="542"/>
    </row>
    <row r="7" spans="1:8" ht="15" customHeight="1">
      <c r="A7" s="339">
        <v>1</v>
      </c>
      <c r="B7" s="340" t="s">
        <v>67</v>
      </c>
      <c r="C7" s="328">
        <v>0</v>
      </c>
      <c r="D7" s="48">
        <v>1</v>
      </c>
      <c r="E7" s="49">
        <v>1</v>
      </c>
      <c r="F7" s="158">
        <v>82</v>
      </c>
      <c r="G7" s="48">
        <f>C7+D7+E7+F7</f>
        <v>84</v>
      </c>
      <c r="H7" s="341">
        <f>G7/G30</f>
        <v>3.2990338543712199E-3</v>
      </c>
    </row>
    <row r="8" spans="1:8" ht="15" customHeight="1">
      <c r="A8" s="339">
        <v>2</v>
      </c>
      <c r="B8" s="340" t="s">
        <v>68</v>
      </c>
      <c r="C8" s="328">
        <v>0</v>
      </c>
      <c r="D8" s="48">
        <v>0</v>
      </c>
      <c r="E8" s="49">
        <v>0</v>
      </c>
      <c r="F8" s="158">
        <v>22</v>
      </c>
      <c r="G8" s="48">
        <f t="shared" ref="G8:G29" si="0">C8+D8+E8+F8</f>
        <v>22</v>
      </c>
      <c r="H8" s="341">
        <f>G8/G30</f>
        <v>8.6403267614484328E-4</v>
      </c>
    </row>
    <row r="9" spans="1:8" ht="15" customHeight="1">
      <c r="A9" s="339">
        <v>3</v>
      </c>
      <c r="B9" s="340" t="s">
        <v>69</v>
      </c>
      <c r="C9" s="328">
        <v>23</v>
      </c>
      <c r="D9" s="48">
        <v>0</v>
      </c>
      <c r="E9" s="49">
        <v>4</v>
      </c>
      <c r="F9" s="158">
        <v>918</v>
      </c>
      <c r="G9" s="48">
        <f t="shared" si="0"/>
        <v>945</v>
      </c>
      <c r="H9" s="341">
        <f>G9/G30</f>
        <v>3.7114130861676226E-2</v>
      </c>
    </row>
    <row r="10" spans="1:8">
      <c r="A10" s="339">
        <v>4</v>
      </c>
      <c r="B10" s="340" t="s">
        <v>70</v>
      </c>
      <c r="C10" s="327">
        <v>0</v>
      </c>
      <c r="D10" s="53">
        <v>0</v>
      </c>
      <c r="E10" s="54">
        <v>0</v>
      </c>
      <c r="F10" s="158">
        <v>7</v>
      </c>
      <c r="G10" s="48">
        <f t="shared" si="0"/>
        <v>7</v>
      </c>
      <c r="H10" s="341">
        <f>G10/G30</f>
        <v>2.7491948786426834E-4</v>
      </c>
    </row>
    <row r="11" spans="1:8" ht="26.25" customHeight="1">
      <c r="A11" s="339">
        <v>5</v>
      </c>
      <c r="B11" s="340" t="s">
        <v>71</v>
      </c>
      <c r="C11" s="328">
        <v>0</v>
      </c>
      <c r="D11" s="48">
        <v>0</v>
      </c>
      <c r="E11" s="49">
        <v>0</v>
      </c>
      <c r="F11" s="158">
        <f>5+1</f>
        <v>6</v>
      </c>
      <c r="G11" s="48">
        <f t="shared" si="0"/>
        <v>6</v>
      </c>
      <c r="H11" s="341">
        <f>G11/G30</f>
        <v>2.3564527531223E-4</v>
      </c>
    </row>
    <row r="12" spans="1:8" ht="15.75" customHeight="1">
      <c r="A12" s="339">
        <v>6</v>
      </c>
      <c r="B12" s="340" t="s">
        <v>72</v>
      </c>
      <c r="C12" s="327">
        <v>0</v>
      </c>
      <c r="D12" s="48">
        <v>1</v>
      </c>
      <c r="E12" s="49">
        <v>7</v>
      </c>
      <c r="F12" s="158">
        <v>616</v>
      </c>
      <c r="G12" s="48">
        <f t="shared" si="0"/>
        <v>624</v>
      </c>
      <c r="H12" s="341">
        <f>G12/G30</f>
        <v>2.4507108632471918E-2</v>
      </c>
    </row>
    <row r="13" spans="1:8" ht="27.75" customHeight="1">
      <c r="A13" s="339">
        <v>7</v>
      </c>
      <c r="B13" s="340" t="s">
        <v>73</v>
      </c>
      <c r="C13" s="327">
        <v>0</v>
      </c>
      <c r="D13" s="48">
        <v>228</v>
      </c>
      <c r="E13" s="49">
        <v>50</v>
      </c>
      <c r="F13" s="158">
        <v>2991</v>
      </c>
      <c r="G13" s="48">
        <f t="shared" si="0"/>
        <v>3269</v>
      </c>
      <c r="H13" s="341">
        <f>G13/G30</f>
        <v>0.1283874008326133</v>
      </c>
    </row>
    <row r="14" spans="1:8" ht="15" customHeight="1">
      <c r="A14" s="339">
        <v>8</v>
      </c>
      <c r="B14" s="340" t="s">
        <v>74</v>
      </c>
      <c r="C14" s="327">
        <v>0</v>
      </c>
      <c r="D14" s="48">
        <v>21</v>
      </c>
      <c r="E14" s="48">
        <v>19</v>
      </c>
      <c r="F14" s="158">
        <v>988</v>
      </c>
      <c r="G14" s="48">
        <f t="shared" si="0"/>
        <v>1028</v>
      </c>
      <c r="H14" s="341">
        <f>G14/G30</f>
        <v>4.0373890503495408E-2</v>
      </c>
    </row>
    <row r="15" spans="1:8" ht="24">
      <c r="A15" s="339">
        <v>9</v>
      </c>
      <c r="B15" s="340" t="s">
        <v>75</v>
      </c>
      <c r="C15" s="328">
        <v>0</v>
      </c>
      <c r="D15" s="48">
        <v>3944</v>
      </c>
      <c r="E15" s="49">
        <v>5560</v>
      </c>
      <c r="F15" s="158">
        <f>3622+13</f>
        <v>3635</v>
      </c>
      <c r="G15" s="48">
        <f t="shared" si="0"/>
        <v>13139</v>
      </c>
      <c r="H15" s="341">
        <f>G15/G30</f>
        <v>0.51602387872123168</v>
      </c>
    </row>
    <row r="16" spans="1:8" ht="15" customHeight="1">
      <c r="A16" s="339">
        <v>10</v>
      </c>
      <c r="B16" s="340" t="s">
        <v>76</v>
      </c>
      <c r="C16" s="328">
        <v>0</v>
      </c>
      <c r="D16" s="48">
        <v>1</v>
      </c>
      <c r="E16" s="49">
        <v>1</v>
      </c>
      <c r="F16" s="158">
        <v>332</v>
      </c>
      <c r="G16" s="48">
        <f t="shared" si="0"/>
        <v>334</v>
      </c>
      <c r="H16" s="341">
        <f>G16/G30</f>
        <v>1.3117586992380803E-2</v>
      </c>
    </row>
    <row r="17" spans="1:10" ht="15" customHeight="1">
      <c r="A17" s="339">
        <v>11</v>
      </c>
      <c r="B17" s="340" t="s">
        <v>77</v>
      </c>
      <c r="C17" s="328">
        <v>0</v>
      </c>
      <c r="D17" s="48">
        <v>0</v>
      </c>
      <c r="E17" s="49">
        <v>1</v>
      </c>
      <c r="F17" s="158">
        <f>983+1</f>
        <v>984</v>
      </c>
      <c r="G17" s="48">
        <f t="shared" si="0"/>
        <v>985</v>
      </c>
      <c r="H17" s="341">
        <f>G17/G30</f>
        <v>3.8685099363757754E-2</v>
      </c>
    </row>
    <row r="18" spans="1:10" ht="15" customHeight="1">
      <c r="A18" s="339">
        <v>12</v>
      </c>
      <c r="B18" s="340" t="s">
        <v>78</v>
      </c>
      <c r="C18" s="328">
        <v>0</v>
      </c>
      <c r="D18" s="48">
        <v>13</v>
      </c>
      <c r="E18" s="49">
        <v>10</v>
      </c>
      <c r="F18" s="158">
        <f>176+1</f>
        <v>177</v>
      </c>
      <c r="G18" s="48">
        <f t="shared" si="0"/>
        <v>200</v>
      </c>
      <c r="H18" s="341">
        <f>G18/G30</f>
        <v>7.8548425104076666E-3</v>
      </c>
      <c r="J18" s="342"/>
    </row>
    <row r="19" spans="1:10" ht="15" customHeight="1">
      <c r="A19" s="339">
        <v>13</v>
      </c>
      <c r="B19" s="340" t="s">
        <v>79</v>
      </c>
      <c r="C19" s="328">
        <v>0</v>
      </c>
      <c r="D19" s="48">
        <v>0</v>
      </c>
      <c r="E19" s="49">
        <v>3</v>
      </c>
      <c r="F19" s="158">
        <f>729+1</f>
        <v>730</v>
      </c>
      <c r="G19" s="48">
        <f t="shared" si="0"/>
        <v>733</v>
      </c>
      <c r="H19" s="341">
        <f>G19/G30</f>
        <v>2.8787997800644095E-2</v>
      </c>
    </row>
    <row r="20" spans="1:10" ht="15" customHeight="1">
      <c r="A20" s="339">
        <v>14</v>
      </c>
      <c r="B20" s="340" t="s">
        <v>80</v>
      </c>
      <c r="C20" s="328">
        <v>0</v>
      </c>
      <c r="D20" s="48">
        <v>52</v>
      </c>
      <c r="E20" s="49">
        <v>28</v>
      </c>
      <c r="F20" s="158">
        <f>891+2</f>
        <v>893</v>
      </c>
      <c r="G20" s="48">
        <f t="shared" si="0"/>
        <v>973</v>
      </c>
      <c r="H20" s="341">
        <f>G20/G30</f>
        <v>3.8213808813133299E-2</v>
      </c>
    </row>
    <row r="21" spans="1:10" ht="15" customHeight="1">
      <c r="A21" s="343">
        <v>15</v>
      </c>
      <c r="B21" s="340" t="s">
        <v>81</v>
      </c>
      <c r="C21" s="328">
        <v>0</v>
      </c>
      <c r="D21" s="48">
        <v>15</v>
      </c>
      <c r="E21" s="49">
        <v>1</v>
      </c>
      <c r="F21" s="158">
        <f>608+1</f>
        <v>609</v>
      </c>
      <c r="G21" s="48">
        <f t="shared" si="0"/>
        <v>625</v>
      </c>
      <c r="H21" s="341">
        <f>G21/G30</f>
        <v>2.4546382845023956E-2</v>
      </c>
    </row>
    <row r="22" spans="1:10" ht="15" customHeight="1">
      <c r="A22" s="339">
        <v>16</v>
      </c>
      <c r="B22" s="340" t="s">
        <v>82</v>
      </c>
      <c r="C22" s="328">
        <v>0</v>
      </c>
      <c r="D22" s="48">
        <v>12</v>
      </c>
      <c r="E22" s="49">
        <v>0</v>
      </c>
      <c r="F22" s="158">
        <v>356</v>
      </c>
      <c r="G22" s="48">
        <f t="shared" si="0"/>
        <v>368</v>
      </c>
      <c r="H22" s="341">
        <f>G22/G30</f>
        <v>1.4452910219150105E-2</v>
      </c>
    </row>
    <row r="23" spans="1:10" ht="15" customHeight="1">
      <c r="A23" s="343">
        <v>17</v>
      </c>
      <c r="B23" s="340" t="s">
        <v>83</v>
      </c>
      <c r="C23" s="328">
        <v>0</v>
      </c>
      <c r="D23" s="48">
        <v>0</v>
      </c>
      <c r="E23" s="49">
        <v>2</v>
      </c>
      <c r="F23" s="158">
        <v>268</v>
      </c>
      <c r="G23" s="48">
        <f t="shared" si="0"/>
        <v>270</v>
      </c>
      <c r="H23" s="341">
        <f>G23/G30</f>
        <v>1.0604037389050349E-2</v>
      </c>
    </row>
    <row r="24" spans="1:10" ht="15" customHeight="1">
      <c r="A24" s="339">
        <v>18</v>
      </c>
      <c r="B24" s="344" t="s">
        <v>84</v>
      </c>
      <c r="C24" s="328">
        <v>0</v>
      </c>
      <c r="D24" s="48">
        <v>38</v>
      </c>
      <c r="E24" s="49">
        <v>12</v>
      </c>
      <c r="F24" s="158">
        <f>429+1</f>
        <v>430</v>
      </c>
      <c r="G24" s="48">
        <f t="shared" si="0"/>
        <v>480</v>
      </c>
      <c r="H24" s="341">
        <f>G24/G30</f>
        <v>1.88516220249784E-2</v>
      </c>
    </row>
    <row r="25" spans="1:10" ht="15" customHeight="1">
      <c r="A25" s="339">
        <v>19</v>
      </c>
      <c r="B25" s="344" t="s">
        <v>85</v>
      </c>
      <c r="C25" s="328">
        <v>0</v>
      </c>
      <c r="D25" s="48">
        <v>26</v>
      </c>
      <c r="E25" s="49">
        <v>16</v>
      </c>
      <c r="F25" s="158">
        <v>394</v>
      </c>
      <c r="G25" s="48">
        <f t="shared" si="0"/>
        <v>436</v>
      </c>
      <c r="H25" s="341">
        <f>G25/G30</f>
        <v>1.7123556672688712E-2</v>
      </c>
    </row>
    <row r="26" spans="1:10" ht="36.75" customHeight="1">
      <c r="A26" s="343">
        <v>20</v>
      </c>
      <c r="B26" s="344" t="s">
        <v>86</v>
      </c>
      <c r="C26" s="328">
        <v>0</v>
      </c>
      <c r="D26" s="48">
        <v>0</v>
      </c>
      <c r="E26" s="49">
        <v>0</v>
      </c>
      <c r="F26" s="158">
        <v>21</v>
      </c>
      <c r="G26" s="48">
        <f t="shared" si="0"/>
        <v>21</v>
      </c>
      <c r="H26" s="341">
        <f>G26/G30</f>
        <v>8.2475846359280497E-4</v>
      </c>
    </row>
    <row r="27" spans="1:10" ht="15" customHeight="1">
      <c r="A27" s="339">
        <v>21</v>
      </c>
      <c r="B27" s="344" t="s">
        <v>87</v>
      </c>
      <c r="C27" s="328">
        <v>0</v>
      </c>
      <c r="D27" s="48">
        <v>0</v>
      </c>
      <c r="E27" s="49">
        <v>0</v>
      </c>
      <c r="F27" s="158">
        <v>10</v>
      </c>
      <c r="G27" s="48">
        <f t="shared" si="0"/>
        <v>10</v>
      </c>
      <c r="H27" s="341">
        <f>G27/G30</f>
        <v>3.9274212552038333E-4</v>
      </c>
    </row>
    <row r="28" spans="1:10" ht="15" customHeight="1">
      <c r="A28" s="339">
        <v>22</v>
      </c>
      <c r="B28" s="345" t="s">
        <v>88</v>
      </c>
      <c r="C28" s="328">
        <v>0</v>
      </c>
      <c r="D28" s="48">
        <v>9</v>
      </c>
      <c r="E28" s="49">
        <v>11</v>
      </c>
      <c r="F28" s="158">
        <f>856+10</f>
        <v>866</v>
      </c>
      <c r="G28" s="48">
        <f t="shared" si="0"/>
        <v>886</v>
      </c>
      <c r="H28" s="341">
        <f>G28/G30</f>
        <v>3.479695232110596E-2</v>
      </c>
    </row>
    <row r="29" spans="1:10" ht="15" customHeight="1" thickBot="1">
      <c r="A29" s="346">
        <v>23</v>
      </c>
      <c r="B29" s="347" t="s">
        <v>89</v>
      </c>
      <c r="C29" s="329">
        <v>0</v>
      </c>
      <c r="D29" s="56">
        <v>0</v>
      </c>
      <c r="E29" s="331">
        <v>0</v>
      </c>
      <c r="F29" s="348">
        <v>17</v>
      </c>
      <c r="G29" s="56">
        <f t="shared" si="0"/>
        <v>17</v>
      </c>
      <c r="H29" s="349">
        <f>G29/G30</f>
        <v>6.6766161338465161E-4</v>
      </c>
    </row>
    <row r="30" spans="1:10" ht="15" customHeight="1" thickBot="1">
      <c r="A30" s="350"/>
      <c r="B30" s="351" t="s">
        <v>6</v>
      </c>
      <c r="C30" s="352">
        <f>SUM(C7:C29)</f>
        <v>23</v>
      </c>
      <c r="D30" s="353">
        <f>SUM(D7:D29)</f>
        <v>4361</v>
      </c>
      <c r="E30" s="353">
        <f>SUM(E7:E29)</f>
        <v>5726</v>
      </c>
      <c r="F30" s="354">
        <f>SUM(F7:F29)</f>
        <v>15352</v>
      </c>
      <c r="G30" s="353">
        <f>SUM(G7:G29)</f>
        <v>25462</v>
      </c>
      <c r="H30" s="355">
        <f>G30/G30</f>
        <v>1</v>
      </c>
    </row>
    <row r="31" spans="1:10">
      <c r="A31" s="356"/>
      <c r="B31" s="357"/>
      <c r="C31" s="358"/>
      <c r="D31" s="358"/>
      <c r="E31" s="358"/>
      <c r="F31" s="359"/>
      <c r="G31" s="358"/>
    </row>
    <row r="32" spans="1:10">
      <c r="A32" s="28" t="s">
        <v>142</v>
      </c>
      <c r="G32" s="57" t="s">
        <v>12</v>
      </c>
    </row>
    <row r="33" spans="1:7">
      <c r="A33" s="546">
        <v>44005</v>
      </c>
      <c r="B33" s="546"/>
      <c r="G33" s="57" t="s">
        <v>90</v>
      </c>
    </row>
  </sheetData>
  <mergeCells count="8">
    <mergeCell ref="A3:C3"/>
    <mergeCell ref="A2:H2"/>
    <mergeCell ref="H5:H6"/>
    <mergeCell ref="C4:H4"/>
    <mergeCell ref="A33:B33"/>
    <mergeCell ref="C5:D5"/>
    <mergeCell ref="E5:F5"/>
    <mergeCell ref="G5:G6"/>
  </mergeCells>
  <pageMargins left="0.31496062992125984" right="0.31496062992125984" top="0.35433070866141736" bottom="0.35433070866141736" header="0.31496062992125984" footer="0.31496062992125984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topLeftCell="A13" zoomScale="55" zoomScaleNormal="55" workbookViewId="0">
      <selection activeCell="J26" sqref="J26"/>
    </sheetView>
  </sheetViews>
  <sheetFormatPr defaultRowHeight="12"/>
  <cols>
    <col min="1" max="1" width="5.5703125" style="28" customWidth="1"/>
    <col min="2" max="2" width="61.28515625" style="28" customWidth="1"/>
    <col min="3" max="3" width="13.140625" style="28" customWidth="1"/>
    <col min="4" max="4" width="13.7109375" style="28" customWidth="1"/>
    <col min="5" max="5" width="12" style="28" customWidth="1"/>
    <col min="6" max="6" width="11.42578125" style="28" customWidth="1"/>
    <col min="7" max="7" width="12.7109375" style="28" customWidth="1"/>
    <col min="8" max="8" width="11.7109375" style="28" customWidth="1"/>
    <col min="9" max="11" width="9.140625" style="28"/>
    <col min="12" max="12" width="10.5703125" style="28" bestFit="1" customWidth="1"/>
    <col min="13" max="16384" width="9.140625" style="28"/>
  </cols>
  <sheetData>
    <row r="1" spans="1:8">
      <c r="A1" s="332" t="s">
        <v>104</v>
      </c>
    </row>
    <row r="2" spans="1:8" ht="27" customHeight="1">
      <c r="A2" s="541" t="s">
        <v>131</v>
      </c>
      <c r="B2" s="541"/>
      <c r="C2" s="541"/>
      <c r="D2" s="541"/>
      <c r="E2" s="541"/>
      <c r="F2" s="541"/>
      <c r="G2" s="541"/>
      <c r="H2" s="541"/>
    </row>
    <row r="3" spans="1:8" ht="9" customHeight="1" thickBot="1">
      <c r="A3" s="540"/>
      <c r="B3" s="540"/>
      <c r="C3" s="540"/>
    </row>
    <row r="4" spans="1:8" ht="15" customHeight="1">
      <c r="A4" s="333"/>
      <c r="B4" s="334"/>
      <c r="C4" s="543" t="s">
        <v>59</v>
      </c>
      <c r="D4" s="544"/>
      <c r="E4" s="544"/>
      <c r="F4" s="544"/>
      <c r="G4" s="544"/>
      <c r="H4" s="549" t="s">
        <v>92</v>
      </c>
    </row>
    <row r="5" spans="1:8" ht="15" customHeight="1">
      <c r="A5" s="335" t="s">
        <v>60</v>
      </c>
      <c r="B5" s="336" t="s">
        <v>61</v>
      </c>
      <c r="C5" s="547" t="s">
        <v>62</v>
      </c>
      <c r="D5" s="548"/>
      <c r="E5" s="548" t="s">
        <v>63</v>
      </c>
      <c r="F5" s="548"/>
      <c r="G5" s="548" t="s">
        <v>6</v>
      </c>
      <c r="H5" s="542"/>
    </row>
    <row r="6" spans="1:8" ht="22.5" customHeight="1">
      <c r="A6" s="91"/>
      <c r="B6" s="337"/>
      <c r="C6" s="338" t="s">
        <v>64</v>
      </c>
      <c r="D6" s="322" t="s">
        <v>65</v>
      </c>
      <c r="E6" s="322" t="s">
        <v>65</v>
      </c>
      <c r="F6" s="322" t="s">
        <v>66</v>
      </c>
      <c r="G6" s="548"/>
      <c r="H6" s="542"/>
    </row>
    <row r="7" spans="1:8" ht="15" customHeight="1">
      <c r="A7" s="339">
        <v>1</v>
      </c>
      <c r="B7" s="340" t="s">
        <v>67</v>
      </c>
      <c r="C7" s="328">
        <v>0</v>
      </c>
      <c r="D7" s="211">
        <v>1</v>
      </c>
      <c r="E7" s="49">
        <v>1</v>
      </c>
      <c r="F7" s="49">
        <v>84</v>
      </c>
      <c r="G7" s="48">
        <f>C7+D7+E7+F7</f>
        <v>86</v>
      </c>
      <c r="H7" s="360">
        <f>G7/G30</f>
        <v>3.4353279539825836E-3</v>
      </c>
    </row>
    <row r="8" spans="1:8" ht="15" customHeight="1">
      <c r="A8" s="339">
        <v>2</v>
      </c>
      <c r="B8" s="340" t="s">
        <v>68</v>
      </c>
      <c r="C8" s="328">
        <v>0</v>
      </c>
      <c r="D8" s="211">
        <v>0</v>
      </c>
      <c r="E8" s="49">
        <v>0</v>
      </c>
      <c r="F8" s="158">
        <v>23</v>
      </c>
      <c r="G8" s="48">
        <f t="shared" ref="G8:G29" si="0">C8+D8+E8+F8</f>
        <v>23</v>
      </c>
      <c r="H8" s="360">
        <f>G8/G30</f>
        <v>9.1875049932092355E-4</v>
      </c>
    </row>
    <row r="9" spans="1:8" ht="15" customHeight="1">
      <c r="A9" s="339">
        <v>3</v>
      </c>
      <c r="B9" s="340" t="s">
        <v>69</v>
      </c>
      <c r="C9" s="328">
        <v>19</v>
      </c>
      <c r="D9" s="211">
        <v>0</v>
      </c>
      <c r="E9" s="49">
        <v>4</v>
      </c>
      <c r="F9" s="158">
        <f>929+1</f>
        <v>930</v>
      </c>
      <c r="G9" s="48">
        <f t="shared" si="0"/>
        <v>953</v>
      </c>
      <c r="H9" s="360">
        <f>G9/G30</f>
        <v>3.8068227210993053E-2</v>
      </c>
    </row>
    <row r="10" spans="1:8" ht="15.75" customHeight="1">
      <c r="A10" s="339">
        <v>4</v>
      </c>
      <c r="B10" s="340" t="s">
        <v>70</v>
      </c>
      <c r="C10" s="328">
        <v>0</v>
      </c>
      <c r="D10" s="211">
        <v>0</v>
      </c>
      <c r="E10" s="49">
        <v>0</v>
      </c>
      <c r="F10" s="49">
        <v>7</v>
      </c>
      <c r="G10" s="48">
        <f t="shared" si="0"/>
        <v>7</v>
      </c>
      <c r="H10" s="360">
        <f>G10/G30</f>
        <v>2.796197171846289E-4</v>
      </c>
    </row>
    <row r="11" spans="1:8" ht="24.75" customHeight="1">
      <c r="A11" s="339">
        <v>5</v>
      </c>
      <c r="B11" s="340" t="s">
        <v>71</v>
      </c>
      <c r="C11" s="328">
        <v>0</v>
      </c>
      <c r="D11" s="211">
        <v>0</v>
      </c>
      <c r="E11" s="49">
        <v>0</v>
      </c>
      <c r="F11" s="49">
        <v>5</v>
      </c>
      <c r="G11" s="48">
        <f t="shared" si="0"/>
        <v>5</v>
      </c>
      <c r="H11" s="360">
        <f>G11/G30</f>
        <v>1.9972836941759207E-4</v>
      </c>
    </row>
    <row r="12" spans="1:8" ht="15" customHeight="1">
      <c r="A12" s="339">
        <v>6</v>
      </c>
      <c r="B12" s="361" t="s">
        <v>72</v>
      </c>
      <c r="C12" s="328">
        <v>0</v>
      </c>
      <c r="D12" s="211">
        <v>1</v>
      </c>
      <c r="E12" s="49">
        <v>11</v>
      </c>
      <c r="F12" s="158">
        <f>634+1</f>
        <v>635</v>
      </c>
      <c r="G12" s="48">
        <f t="shared" si="0"/>
        <v>647</v>
      </c>
      <c r="H12" s="360">
        <f>G12/G30</f>
        <v>2.5844851002636414E-2</v>
      </c>
    </row>
    <row r="13" spans="1:8" ht="25.5" customHeight="1">
      <c r="A13" s="339">
        <v>7</v>
      </c>
      <c r="B13" s="361" t="s">
        <v>73</v>
      </c>
      <c r="C13" s="328">
        <v>0</v>
      </c>
      <c r="D13" s="211">
        <v>222</v>
      </c>
      <c r="E13" s="49">
        <v>49</v>
      </c>
      <c r="F13" s="158">
        <f>2991+2</f>
        <v>2993</v>
      </c>
      <c r="G13" s="48">
        <f t="shared" si="0"/>
        <v>3264</v>
      </c>
      <c r="H13" s="360">
        <f>G13/G30</f>
        <v>0.1303826795558041</v>
      </c>
    </row>
    <row r="14" spans="1:8" ht="15" customHeight="1">
      <c r="A14" s="339">
        <v>8</v>
      </c>
      <c r="B14" s="340" t="s">
        <v>74</v>
      </c>
      <c r="C14" s="328">
        <v>0</v>
      </c>
      <c r="D14" s="211">
        <v>21</v>
      </c>
      <c r="E14" s="48">
        <v>18</v>
      </c>
      <c r="F14" s="158">
        <v>952</v>
      </c>
      <c r="G14" s="48">
        <f t="shared" si="0"/>
        <v>991</v>
      </c>
      <c r="H14" s="360">
        <f>G14/G30</f>
        <v>3.958616281856675E-2</v>
      </c>
    </row>
    <row r="15" spans="1:8" ht="24.75" customHeight="1">
      <c r="A15" s="339">
        <v>9</v>
      </c>
      <c r="B15" s="361" t="s">
        <v>75</v>
      </c>
      <c r="C15" s="328">
        <v>0</v>
      </c>
      <c r="D15" s="211">
        <v>3989</v>
      </c>
      <c r="E15" s="49">
        <v>5313</v>
      </c>
      <c r="F15" s="158">
        <f>3600+11</f>
        <v>3611</v>
      </c>
      <c r="G15" s="48">
        <f t="shared" si="0"/>
        <v>12913</v>
      </c>
      <c r="H15" s="360">
        <f>G15/G30</f>
        <v>0.51581848685787324</v>
      </c>
    </row>
    <row r="16" spans="1:8" ht="15" customHeight="1">
      <c r="A16" s="339">
        <v>10</v>
      </c>
      <c r="B16" s="340" t="s">
        <v>76</v>
      </c>
      <c r="C16" s="328">
        <v>0</v>
      </c>
      <c r="D16" s="211">
        <v>1</v>
      </c>
      <c r="E16" s="49">
        <v>1</v>
      </c>
      <c r="F16" s="49">
        <v>326</v>
      </c>
      <c r="G16" s="48">
        <f t="shared" si="0"/>
        <v>328</v>
      </c>
      <c r="H16" s="360">
        <f>G16/G30</f>
        <v>1.310218103379404E-2</v>
      </c>
    </row>
    <row r="17" spans="1:12" ht="15" customHeight="1">
      <c r="A17" s="339">
        <v>11</v>
      </c>
      <c r="B17" s="340" t="s">
        <v>77</v>
      </c>
      <c r="C17" s="328">
        <v>0</v>
      </c>
      <c r="D17" s="211">
        <v>0</v>
      </c>
      <c r="E17" s="49">
        <v>1</v>
      </c>
      <c r="F17" s="158">
        <f>918+1</f>
        <v>919</v>
      </c>
      <c r="G17" s="48">
        <f t="shared" si="0"/>
        <v>920</v>
      </c>
      <c r="H17" s="360">
        <f>G17/G30</f>
        <v>3.6750019972836945E-2</v>
      </c>
    </row>
    <row r="18" spans="1:12" ht="15" customHeight="1">
      <c r="A18" s="339">
        <v>12</v>
      </c>
      <c r="B18" s="340" t="s">
        <v>78</v>
      </c>
      <c r="C18" s="328">
        <v>0</v>
      </c>
      <c r="D18" s="211">
        <v>13</v>
      </c>
      <c r="E18" s="49">
        <v>9</v>
      </c>
      <c r="F18" s="49">
        <f>171+1</f>
        <v>172</v>
      </c>
      <c r="G18" s="48">
        <f t="shared" si="0"/>
        <v>194</v>
      </c>
      <c r="H18" s="360">
        <f>G18/G30</f>
        <v>7.7494607334025727E-3</v>
      </c>
    </row>
    <row r="19" spans="1:12" ht="15" customHeight="1">
      <c r="A19" s="339">
        <v>13</v>
      </c>
      <c r="B19" s="340" t="s">
        <v>79</v>
      </c>
      <c r="C19" s="328">
        <v>0</v>
      </c>
      <c r="D19" s="211">
        <v>0</v>
      </c>
      <c r="E19" s="49">
        <v>3</v>
      </c>
      <c r="F19" s="49">
        <f>739+2</f>
        <v>741</v>
      </c>
      <c r="G19" s="48">
        <f t="shared" si="0"/>
        <v>744</v>
      </c>
      <c r="H19" s="360">
        <f>G19/G30</f>
        <v>2.9719581369337701E-2</v>
      </c>
    </row>
    <row r="20" spans="1:12" ht="15" customHeight="1">
      <c r="A20" s="339">
        <v>14</v>
      </c>
      <c r="B20" s="340" t="s">
        <v>80</v>
      </c>
      <c r="C20" s="328">
        <v>0</v>
      </c>
      <c r="D20" s="211">
        <v>52</v>
      </c>
      <c r="E20" s="49">
        <v>26</v>
      </c>
      <c r="F20" s="158">
        <f>883+3</f>
        <v>886</v>
      </c>
      <c r="G20" s="48">
        <f t="shared" si="0"/>
        <v>964</v>
      </c>
      <c r="H20" s="360">
        <f>G20/G30</f>
        <v>3.850762962371175E-2</v>
      </c>
    </row>
    <row r="21" spans="1:12" ht="15" customHeight="1">
      <c r="A21" s="343">
        <v>15</v>
      </c>
      <c r="B21" s="340" t="s">
        <v>81</v>
      </c>
      <c r="C21" s="328">
        <v>0</v>
      </c>
      <c r="D21" s="211">
        <v>15</v>
      </c>
      <c r="E21" s="49">
        <v>1</v>
      </c>
      <c r="F21" s="158">
        <f>542+2</f>
        <v>544</v>
      </c>
      <c r="G21" s="48">
        <f t="shared" si="0"/>
        <v>560</v>
      </c>
      <c r="H21" s="360">
        <f>G21/G30</f>
        <v>2.2369577374770314E-2</v>
      </c>
      <c r="L21" s="342"/>
    </row>
    <row r="22" spans="1:12" ht="15" customHeight="1">
      <c r="A22" s="339">
        <v>16</v>
      </c>
      <c r="B22" s="340" t="s">
        <v>82</v>
      </c>
      <c r="C22" s="328">
        <v>0</v>
      </c>
      <c r="D22" s="211">
        <v>13</v>
      </c>
      <c r="E22" s="49">
        <v>0</v>
      </c>
      <c r="F22" s="49">
        <f>323+1</f>
        <v>324</v>
      </c>
      <c r="G22" s="48">
        <f t="shared" si="0"/>
        <v>337</v>
      </c>
      <c r="H22" s="360">
        <f>G22/G30</f>
        <v>1.3461692098745705E-2</v>
      </c>
    </row>
    <row r="23" spans="1:12" ht="24" customHeight="1">
      <c r="A23" s="343">
        <v>17</v>
      </c>
      <c r="B23" s="340" t="s">
        <v>83</v>
      </c>
      <c r="C23" s="328">
        <v>0</v>
      </c>
      <c r="D23" s="211">
        <v>0</v>
      </c>
      <c r="E23" s="49">
        <v>2</v>
      </c>
      <c r="F23" s="49">
        <v>258</v>
      </c>
      <c r="G23" s="48">
        <f t="shared" si="0"/>
        <v>260</v>
      </c>
      <c r="H23" s="360">
        <f>G23/G30</f>
        <v>1.0385875209714788E-2</v>
      </c>
    </row>
    <row r="24" spans="1:12" ht="15" customHeight="1">
      <c r="A24" s="339">
        <v>18</v>
      </c>
      <c r="B24" s="344" t="s">
        <v>84</v>
      </c>
      <c r="C24" s="328">
        <v>0</v>
      </c>
      <c r="D24" s="211">
        <v>40</v>
      </c>
      <c r="E24" s="49">
        <v>12</v>
      </c>
      <c r="F24" s="158">
        <f>415+1</f>
        <v>416</v>
      </c>
      <c r="G24" s="48">
        <f t="shared" si="0"/>
        <v>468</v>
      </c>
      <c r="H24" s="360">
        <f>G24/G30</f>
        <v>1.869457537748662E-2</v>
      </c>
    </row>
    <row r="25" spans="1:12" ht="15" customHeight="1">
      <c r="A25" s="339">
        <v>19</v>
      </c>
      <c r="B25" s="344" t="s">
        <v>85</v>
      </c>
      <c r="C25" s="328">
        <v>0</v>
      </c>
      <c r="D25" s="211">
        <v>28</v>
      </c>
      <c r="E25" s="49">
        <v>15</v>
      </c>
      <c r="F25" s="49">
        <v>388</v>
      </c>
      <c r="G25" s="48">
        <f t="shared" si="0"/>
        <v>431</v>
      </c>
      <c r="H25" s="360">
        <f>G25/G30</f>
        <v>1.7216585443796437E-2</v>
      </c>
    </row>
    <row r="26" spans="1:12" ht="39" customHeight="1">
      <c r="A26" s="343">
        <v>20</v>
      </c>
      <c r="B26" s="344" t="s">
        <v>86</v>
      </c>
      <c r="C26" s="328">
        <v>0</v>
      </c>
      <c r="D26" s="211">
        <v>0</v>
      </c>
      <c r="E26" s="49">
        <v>0</v>
      </c>
      <c r="F26" s="158">
        <v>20</v>
      </c>
      <c r="G26" s="48">
        <f t="shared" si="0"/>
        <v>20</v>
      </c>
      <c r="H26" s="360">
        <f>G26/G30</f>
        <v>7.9891347767036827E-4</v>
      </c>
    </row>
    <row r="27" spans="1:12" ht="15" customHeight="1">
      <c r="A27" s="339">
        <v>21</v>
      </c>
      <c r="B27" s="344" t="s">
        <v>87</v>
      </c>
      <c r="C27" s="328">
        <v>0</v>
      </c>
      <c r="D27" s="211">
        <v>0</v>
      </c>
      <c r="E27" s="49">
        <v>0</v>
      </c>
      <c r="F27" s="49">
        <v>10</v>
      </c>
      <c r="G27" s="48">
        <f t="shared" si="0"/>
        <v>10</v>
      </c>
      <c r="H27" s="360">
        <f>G27/G30</f>
        <v>3.9945673883518413E-4</v>
      </c>
    </row>
    <row r="28" spans="1:12" ht="15" customHeight="1">
      <c r="A28" s="339">
        <v>22</v>
      </c>
      <c r="B28" s="345" t="s">
        <v>88</v>
      </c>
      <c r="C28" s="328">
        <v>0</v>
      </c>
      <c r="D28" s="211">
        <v>8</v>
      </c>
      <c r="E28" s="49">
        <v>13</v>
      </c>
      <c r="F28" s="158">
        <f>875+12</f>
        <v>887</v>
      </c>
      <c r="G28" s="48">
        <f t="shared" si="0"/>
        <v>908</v>
      </c>
      <c r="H28" s="360">
        <f>G28/G30</f>
        <v>3.6270671886234722E-2</v>
      </c>
    </row>
    <row r="29" spans="1:12" ht="15" customHeight="1" thickBot="1">
      <c r="A29" s="346">
        <v>23</v>
      </c>
      <c r="B29" s="347" t="s">
        <v>89</v>
      </c>
      <c r="C29" s="329">
        <v>0</v>
      </c>
      <c r="D29" s="330">
        <v>0</v>
      </c>
      <c r="E29" s="331">
        <v>0</v>
      </c>
      <c r="F29" s="331">
        <v>1</v>
      </c>
      <c r="G29" s="56">
        <f t="shared" si="0"/>
        <v>1</v>
      </c>
      <c r="H29" s="362">
        <f>G29/G30</f>
        <v>3.9945673883518416E-5</v>
      </c>
    </row>
    <row r="30" spans="1:12" ht="15" customHeight="1" thickBot="1">
      <c r="A30" s="350"/>
      <c r="B30" s="351" t="s">
        <v>6</v>
      </c>
      <c r="C30" s="352">
        <f>SUM(C7:C29)</f>
        <v>19</v>
      </c>
      <c r="D30" s="353">
        <f t="shared" ref="D30:H30" si="1">SUM(D7:D29)</f>
        <v>4404</v>
      </c>
      <c r="E30" s="353">
        <f t="shared" si="1"/>
        <v>5479</v>
      </c>
      <c r="F30" s="353">
        <f t="shared" si="1"/>
        <v>15132</v>
      </c>
      <c r="G30" s="353">
        <f t="shared" si="1"/>
        <v>25034</v>
      </c>
      <c r="H30" s="363">
        <f t="shared" si="1"/>
        <v>0.99999999999999989</v>
      </c>
    </row>
    <row r="31" spans="1:12">
      <c r="A31" s="356"/>
      <c r="B31" s="357"/>
      <c r="C31" s="358"/>
      <c r="D31" s="358"/>
      <c r="E31" s="358"/>
      <c r="F31" s="358"/>
      <c r="G31" s="358"/>
    </row>
    <row r="32" spans="1:12">
      <c r="A32" s="28" t="s">
        <v>142</v>
      </c>
      <c r="G32" s="57" t="s">
        <v>12</v>
      </c>
    </row>
    <row r="33" spans="1:7">
      <c r="A33" s="546">
        <v>44005</v>
      </c>
      <c r="B33" s="546"/>
      <c r="G33" s="57" t="s">
        <v>90</v>
      </c>
    </row>
    <row r="37" spans="1:7">
      <c r="D37" s="342"/>
    </row>
  </sheetData>
  <mergeCells count="8">
    <mergeCell ref="A33:B33"/>
    <mergeCell ref="H4:H6"/>
    <mergeCell ref="A2:H2"/>
    <mergeCell ref="A3:C3"/>
    <mergeCell ref="C4:G4"/>
    <mergeCell ref="C5:D5"/>
    <mergeCell ref="E5:F5"/>
    <mergeCell ref="G5:G6"/>
  </mergeCells>
  <pageMargins left="0.31496062992125984" right="0.19685039370078741" top="0.35433070866141736" bottom="0.35433070866141736" header="0.31496062992125984" footer="0.31496062992125984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topLeftCell="A16" zoomScale="80" zoomScaleNormal="80" workbookViewId="0">
      <selection activeCell="D14" sqref="D14"/>
    </sheetView>
  </sheetViews>
  <sheetFormatPr defaultRowHeight="12"/>
  <cols>
    <col min="1" max="1" width="4.85546875" style="28" customWidth="1"/>
    <col min="2" max="2" width="47.140625" style="28" customWidth="1"/>
    <col min="3" max="3" width="14.140625" style="28" customWidth="1"/>
    <col min="4" max="4" width="14" style="28" customWidth="1"/>
    <col min="5" max="8" width="12.7109375" style="28" customWidth="1"/>
    <col min="9" max="9" width="9.140625" style="28"/>
    <col min="10" max="10" width="14.5703125" style="28" bestFit="1" customWidth="1"/>
    <col min="11" max="16384" width="9.140625" style="28"/>
  </cols>
  <sheetData>
    <row r="1" spans="1:10">
      <c r="A1" s="332" t="s">
        <v>105</v>
      </c>
    </row>
    <row r="2" spans="1:10" ht="28.5" customHeight="1">
      <c r="A2" s="541" t="s">
        <v>132</v>
      </c>
      <c r="B2" s="541"/>
      <c r="C2" s="541"/>
      <c r="D2" s="541"/>
      <c r="E2" s="541"/>
      <c r="F2" s="541"/>
      <c r="G2" s="541"/>
      <c r="H2" s="541"/>
    </row>
    <row r="3" spans="1:10" ht="7.5" customHeight="1" thickBot="1">
      <c r="A3" s="540"/>
      <c r="B3" s="540"/>
      <c r="C3" s="540"/>
    </row>
    <row r="4" spans="1:10" ht="15" customHeight="1">
      <c r="A4" s="333"/>
      <c r="B4" s="334"/>
      <c r="C4" s="543" t="s">
        <v>59</v>
      </c>
      <c r="D4" s="544"/>
      <c r="E4" s="544"/>
      <c r="F4" s="544"/>
      <c r="G4" s="544"/>
      <c r="H4" s="549" t="s">
        <v>92</v>
      </c>
    </row>
    <row r="5" spans="1:10" ht="15" customHeight="1">
      <c r="A5" s="335" t="s">
        <v>60</v>
      </c>
      <c r="B5" s="336" t="s">
        <v>61</v>
      </c>
      <c r="C5" s="547" t="s">
        <v>62</v>
      </c>
      <c r="D5" s="548"/>
      <c r="E5" s="548" t="s">
        <v>63</v>
      </c>
      <c r="F5" s="548"/>
      <c r="G5" s="548" t="s">
        <v>6</v>
      </c>
      <c r="H5" s="542"/>
    </row>
    <row r="6" spans="1:10" ht="25.5" customHeight="1">
      <c r="A6" s="91"/>
      <c r="B6" s="337"/>
      <c r="C6" s="364" t="s">
        <v>64</v>
      </c>
      <c r="D6" s="322" t="s">
        <v>65</v>
      </c>
      <c r="E6" s="322" t="s">
        <v>65</v>
      </c>
      <c r="F6" s="322" t="s">
        <v>66</v>
      </c>
      <c r="G6" s="548"/>
      <c r="H6" s="542"/>
    </row>
    <row r="7" spans="1:10" ht="15" customHeight="1">
      <c r="A7" s="339">
        <v>1</v>
      </c>
      <c r="B7" s="340" t="s">
        <v>67</v>
      </c>
      <c r="C7" s="328">
        <v>0</v>
      </c>
      <c r="D7" s="211">
        <v>1</v>
      </c>
      <c r="E7" s="49">
        <v>1</v>
      </c>
      <c r="F7" s="49">
        <v>87</v>
      </c>
      <c r="G7" s="48">
        <f>C7+D7+E7+F7</f>
        <v>89</v>
      </c>
      <c r="H7" s="360">
        <f>G7/G30</f>
        <v>2.8044745549078306E-3</v>
      </c>
      <c r="J7" s="365"/>
    </row>
    <row r="8" spans="1:10" ht="15" customHeight="1">
      <c r="A8" s="339">
        <v>2</v>
      </c>
      <c r="B8" s="340" t="s">
        <v>68</v>
      </c>
      <c r="C8" s="328">
        <v>0</v>
      </c>
      <c r="D8" s="211">
        <v>0</v>
      </c>
      <c r="E8" s="49">
        <v>0</v>
      </c>
      <c r="F8" s="49">
        <v>26</v>
      </c>
      <c r="G8" s="48">
        <f t="shared" ref="G8:G29" si="0">C8+D8+E8+F8</f>
        <v>26</v>
      </c>
      <c r="H8" s="360">
        <f>G8/G30</f>
        <v>8.192847014337482E-4</v>
      </c>
    </row>
    <row r="9" spans="1:10" ht="15" customHeight="1">
      <c r="A9" s="339">
        <v>3</v>
      </c>
      <c r="B9" s="340" t="s">
        <v>69</v>
      </c>
      <c r="C9" s="328">
        <v>22</v>
      </c>
      <c r="D9" s="48">
        <v>0</v>
      </c>
      <c r="E9" s="49">
        <v>1</v>
      </c>
      <c r="F9" s="49">
        <v>980</v>
      </c>
      <c r="G9" s="48">
        <f t="shared" si="0"/>
        <v>1003</v>
      </c>
      <c r="H9" s="360">
        <f>G9/G30</f>
        <v>3.1605482905309595E-2</v>
      </c>
    </row>
    <row r="10" spans="1:10" ht="14.25" customHeight="1">
      <c r="A10" s="339">
        <v>4</v>
      </c>
      <c r="B10" s="340" t="s">
        <v>70</v>
      </c>
      <c r="C10" s="327">
        <v>0</v>
      </c>
      <c r="D10" s="137">
        <v>0</v>
      </c>
      <c r="E10" s="54">
        <v>0</v>
      </c>
      <c r="F10" s="49">
        <v>7</v>
      </c>
      <c r="G10" s="48">
        <f t="shared" si="0"/>
        <v>7</v>
      </c>
      <c r="H10" s="360">
        <f>G10/G30</f>
        <v>2.2057665038600915E-4</v>
      </c>
    </row>
    <row r="11" spans="1:10" ht="27.75" customHeight="1">
      <c r="A11" s="339">
        <v>5</v>
      </c>
      <c r="B11" s="340" t="s">
        <v>71</v>
      </c>
      <c r="C11" s="328">
        <v>0</v>
      </c>
      <c r="D11" s="211">
        <v>0</v>
      </c>
      <c r="E11" s="49">
        <v>0</v>
      </c>
      <c r="F11" s="49">
        <v>6</v>
      </c>
      <c r="G11" s="48">
        <f t="shared" si="0"/>
        <v>6</v>
      </c>
      <c r="H11" s="360">
        <f>G11/G30</f>
        <v>1.8906570033086498E-4</v>
      </c>
    </row>
    <row r="12" spans="1:10" ht="15" customHeight="1">
      <c r="A12" s="339">
        <v>6</v>
      </c>
      <c r="B12" s="340" t="s">
        <v>72</v>
      </c>
      <c r="C12" s="327">
        <v>0</v>
      </c>
      <c r="D12" s="211">
        <v>6</v>
      </c>
      <c r="E12" s="49">
        <v>10</v>
      </c>
      <c r="F12" s="49">
        <f>735+1</f>
        <v>736</v>
      </c>
      <c r="G12" s="48">
        <f t="shared" si="0"/>
        <v>752</v>
      </c>
      <c r="H12" s="360">
        <f>G12/G30</f>
        <v>2.369623444146841E-2</v>
      </c>
    </row>
    <row r="13" spans="1:10" ht="27.75" customHeight="1">
      <c r="A13" s="339">
        <v>7</v>
      </c>
      <c r="B13" s="340" t="s">
        <v>73</v>
      </c>
      <c r="C13" s="327">
        <v>0</v>
      </c>
      <c r="D13" s="211">
        <v>280</v>
      </c>
      <c r="E13" s="49">
        <v>47</v>
      </c>
      <c r="F13" s="49">
        <f>3209+2</f>
        <v>3211</v>
      </c>
      <c r="G13" s="48">
        <f t="shared" si="0"/>
        <v>3538</v>
      </c>
      <c r="H13" s="360">
        <f>G13/G30</f>
        <v>0.11148574129510004</v>
      </c>
    </row>
    <row r="14" spans="1:10" ht="15" customHeight="1">
      <c r="A14" s="339">
        <v>8</v>
      </c>
      <c r="B14" s="340" t="s">
        <v>74</v>
      </c>
      <c r="C14" s="327">
        <v>0</v>
      </c>
      <c r="D14" s="211">
        <v>22</v>
      </c>
      <c r="E14" s="48">
        <v>17</v>
      </c>
      <c r="F14" s="49">
        <v>949</v>
      </c>
      <c r="G14" s="48">
        <f t="shared" si="0"/>
        <v>988</v>
      </c>
      <c r="H14" s="360">
        <f>G14/G30</f>
        <v>3.1132818654482433E-2</v>
      </c>
    </row>
    <row r="15" spans="1:10" ht="25.5" customHeight="1">
      <c r="A15" s="339">
        <v>9</v>
      </c>
      <c r="B15" s="340" t="s">
        <v>75</v>
      </c>
      <c r="C15" s="327">
        <v>0</v>
      </c>
      <c r="D15" s="211">
        <v>10197</v>
      </c>
      <c r="E15" s="49">
        <v>4989</v>
      </c>
      <c r="F15" s="49">
        <f>3664+7</f>
        <v>3671</v>
      </c>
      <c r="G15" s="48">
        <f t="shared" si="0"/>
        <v>18857</v>
      </c>
      <c r="H15" s="360">
        <f>G15/G30</f>
        <v>0.59420198518985345</v>
      </c>
    </row>
    <row r="16" spans="1:10" ht="15" customHeight="1">
      <c r="A16" s="339">
        <v>10</v>
      </c>
      <c r="B16" s="340" t="s">
        <v>76</v>
      </c>
      <c r="C16" s="328">
        <v>0</v>
      </c>
      <c r="D16" s="211">
        <v>1</v>
      </c>
      <c r="E16" s="49">
        <v>1</v>
      </c>
      <c r="F16" s="49">
        <v>363</v>
      </c>
      <c r="G16" s="48">
        <f t="shared" si="0"/>
        <v>365</v>
      </c>
      <c r="H16" s="360">
        <f>G16/G30</f>
        <v>1.150149677012762E-2</v>
      </c>
    </row>
    <row r="17" spans="1:8" ht="15" customHeight="1">
      <c r="A17" s="339">
        <v>11</v>
      </c>
      <c r="B17" s="340" t="s">
        <v>77</v>
      </c>
      <c r="C17" s="328">
        <v>0</v>
      </c>
      <c r="D17" s="211">
        <v>0</v>
      </c>
      <c r="E17" s="49">
        <v>1</v>
      </c>
      <c r="F17" s="49">
        <f>913+1</f>
        <v>914</v>
      </c>
      <c r="G17" s="48">
        <f t="shared" si="0"/>
        <v>915</v>
      </c>
      <c r="H17" s="360">
        <f>G17/G30</f>
        <v>2.883251930045691E-2</v>
      </c>
    </row>
    <row r="18" spans="1:8" ht="15" customHeight="1">
      <c r="A18" s="339">
        <v>12</v>
      </c>
      <c r="B18" s="340" t="s">
        <v>78</v>
      </c>
      <c r="C18" s="328">
        <v>0</v>
      </c>
      <c r="D18" s="211">
        <v>26</v>
      </c>
      <c r="E18" s="49">
        <v>8</v>
      </c>
      <c r="F18" s="49">
        <f>181+1</f>
        <v>182</v>
      </c>
      <c r="G18" s="48">
        <f t="shared" si="0"/>
        <v>216</v>
      </c>
      <c r="H18" s="360">
        <f>G18/G30</f>
        <v>6.8063652119111388E-3</v>
      </c>
    </row>
    <row r="19" spans="1:8" ht="15" customHeight="1">
      <c r="A19" s="339">
        <v>13</v>
      </c>
      <c r="B19" s="340" t="s">
        <v>79</v>
      </c>
      <c r="C19" s="328">
        <v>0</v>
      </c>
      <c r="D19" s="211">
        <v>0</v>
      </c>
      <c r="E19" s="49">
        <v>3</v>
      </c>
      <c r="F19" s="49">
        <f>833+1</f>
        <v>834</v>
      </c>
      <c r="G19" s="48">
        <f t="shared" si="0"/>
        <v>837</v>
      </c>
      <c r="H19" s="360">
        <f>G19/G30</f>
        <v>2.6374665196155663E-2</v>
      </c>
    </row>
    <row r="20" spans="1:8" ht="15" customHeight="1">
      <c r="A20" s="339">
        <v>14</v>
      </c>
      <c r="B20" s="340" t="s">
        <v>80</v>
      </c>
      <c r="C20" s="328">
        <v>0</v>
      </c>
      <c r="D20" s="211">
        <v>55</v>
      </c>
      <c r="E20" s="49">
        <v>26</v>
      </c>
      <c r="F20" s="49">
        <f>898+3</f>
        <v>901</v>
      </c>
      <c r="G20" s="48">
        <f t="shared" si="0"/>
        <v>982</v>
      </c>
      <c r="H20" s="360">
        <f>G20/G30</f>
        <v>3.0943752954151568E-2</v>
      </c>
    </row>
    <row r="21" spans="1:8" ht="15" customHeight="1">
      <c r="A21" s="343">
        <v>15</v>
      </c>
      <c r="B21" s="340" t="s">
        <v>81</v>
      </c>
      <c r="C21" s="328">
        <v>0</v>
      </c>
      <c r="D21" s="211">
        <v>15</v>
      </c>
      <c r="E21" s="49">
        <v>1</v>
      </c>
      <c r="F21" s="49">
        <f>541+1</f>
        <v>542</v>
      </c>
      <c r="G21" s="48">
        <f t="shared" si="0"/>
        <v>558</v>
      </c>
      <c r="H21" s="360">
        <f>G21/G30</f>
        <v>1.7583110130770442E-2</v>
      </c>
    </row>
    <row r="22" spans="1:8" ht="15" customHeight="1">
      <c r="A22" s="339">
        <v>16</v>
      </c>
      <c r="B22" s="340" t="s">
        <v>82</v>
      </c>
      <c r="C22" s="328">
        <v>0</v>
      </c>
      <c r="D22" s="211">
        <v>14</v>
      </c>
      <c r="E22" s="49">
        <v>0</v>
      </c>
      <c r="F22" s="49">
        <f>342+1</f>
        <v>343</v>
      </c>
      <c r="G22" s="48">
        <f t="shared" si="0"/>
        <v>357</v>
      </c>
      <c r="H22" s="360">
        <f>G22/G30</f>
        <v>1.1249409169686466E-2</v>
      </c>
    </row>
    <row r="23" spans="1:8" ht="24.75" customHeight="1">
      <c r="A23" s="343">
        <v>17</v>
      </c>
      <c r="B23" s="340" t="s">
        <v>83</v>
      </c>
      <c r="C23" s="328">
        <v>0</v>
      </c>
      <c r="D23" s="211">
        <v>1</v>
      </c>
      <c r="E23" s="49">
        <v>2</v>
      </c>
      <c r="F23" s="49">
        <v>276</v>
      </c>
      <c r="G23" s="48">
        <f t="shared" si="0"/>
        <v>279</v>
      </c>
      <c r="H23" s="360">
        <f>G23/G30</f>
        <v>8.7915550653852211E-3</v>
      </c>
    </row>
    <row r="24" spans="1:8" ht="15.75" customHeight="1">
      <c r="A24" s="339">
        <v>18</v>
      </c>
      <c r="B24" s="344" t="s">
        <v>84</v>
      </c>
      <c r="C24" s="328">
        <v>0</v>
      </c>
      <c r="D24" s="211">
        <v>42</v>
      </c>
      <c r="E24" s="49">
        <v>12</v>
      </c>
      <c r="F24" s="49">
        <v>445</v>
      </c>
      <c r="G24" s="48">
        <f t="shared" si="0"/>
        <v>499</v>
      </c>
      <c r="H24" s="360">
        <f>G24/G30</f>
        <v>1.5723964077516937E-2</v>
      </c>
    </row>
    <row r="25" spans="1:8" ht="13.5" customHeight="1">
      <c r="A25" s="339">
        <v>19</v>
      </c>
      <c r="B25" s="344" t="s">
        <v>85</v>
      </c>
      <c r="C25" s="328">
        <v>0</v>
      </c>
      <c r="D25" s="211">
        <v>11</v>
      </c>
      <c r="E25" s="49">
        <v>15</v>
      </c>
      <c r="F25" s="49">
        <v>437</v>
      </c>
      <c r="G25" s="48">
        <f t="shared" si="0"/>
        <v>463</v>
      </c>
      <c r="H25" s="360">
        <f>G25/G30</f>
        <v>1.4589569875531748E-2</v>
      </c>
    </row>
    <row r="26" spans="1:8" ht="36.75" customHeight="1">
      <c r="A26" s="343">
        <v>20</v>
      </c>
      <c r="B26" s="344" t="s">
        <v>86</v>
      </c>
      <c r="C26" s="328">
        <v>0</v>
      </c>
      <c r="D26" s="211">
        <v>0</v>
      </c>
      <c r="E26" s="49">
        <v>0</v>
      </c>
      <c r="F26" s="49">
        <v>23</v>
      </c>
      <c r="G26" s="48">
        <f t="shared" si="0"/>
        <v>23</v>
      </c>
      <c r="H26" s="360">
        <f>G26/G30</f>
        <v>7.2475185126831575E-4</v>
      </c>
    </row>
    <row r="27" spans="1:8" ht="15.75" customHeight="1">
      <c r="A27" s="339">
        <v>21</v>
      </c>
      <c r="B27" s="344" t="s">
        <v>87</v>
      </c>
      <c r="C27" s="328">
        <v>0</v>
      </c>
      <c r="D27" s="211">
        <v>0</v>
      </c>
      <c r="E27" s="49">
        <v>0</v>
      </c>
      <c r="F27" s="49">
        <v>11</v>
      </c>
      <c r="G27" s="48">
        <f t="shared" si="0"/>
        <v>11</v>
      </c>
      <c r="H27" s="360">
        <f>G27/G30</f>
        <v>3.466204506065858E-4</v>
      </c>
    </row>
    <row r="28" spans="1:8" ht="15.75" customHeight="1">
      <c r="A28" s="339">
        <v>22</v>
      </c>
      <c r="B28" s="345" t="s">
        <v>88</v>
      </c>
      <c r="C28" s="328">
        <v>0</v>
      </c>
      <c r="D28" s="211">
        <v>10</v>
      </c>
      <c r="E28" s="49">
        <v>10</v>
      </c>
      <c r="F28" s="49">
        <f>931+9</f>
        <v>940</v>
      </c>
      <c r="G28" s="48">
        <f t="shared" si="0"/>
        <v>960</v>
      </c>
      <c r="H28" s="360">
        <f>G28/G30</f>
        <v>3.0250512052938397E-2</v>
      </c>
    </row>
    <row r="29" spans="1:8" ht="15.75" customHeight="1" thickBot="1">
      <c r="A29" s="346">
        <v>23</v>
      </c>
      <c r="B29" s="347" t="s">
        <v>89</v>
      </c>
      <c r="C29" s="329">
        <v>0</v>
      </c>
      <c r="D29" s="330">
        <v>0</v>
      </c>
      <c r="E29" s="331">
        <v>0</v>
      </c>
      <c r="F29" s="331">
        <v>4</v>
      </c>
      <c r="G29" s="56">
        <f t="shared" si="0"/>
        <v>4</v>
      </c>
      <c r="H29" s="362">
        <f>G29/G30</f>
        <v>1.2604380022057665E-4</v>
      </c>
    </row>
    <row r="30" spans="1:8" ht="12.75" customHeight="1" thickBot="1">
      <c r="A30" s="350"/>
      <c r="B30" s="351" t="s">
        <v>6</v>
      </c>
      <c r="C30" s="352">
        <f>SUM(C7:C29)</f>
        <v>22</v>
      </c>
      <c r="D30" s="353">
        <f>SUM(D7:D29)</f>
        <v>10681</v>
      </c>
      <c r="E30" s="353">
        <f t="shared" ref="E30:H30" si="1">SUM(E7:E29)</f>
        <v>5144</v>
      </c>
      <c r="F30" s="353">
        <f t="shared" si="1"/>
        <v>15888</v>
      </c>
      <c r="G30" s="353">
        <f t="shared" si="1"/>
        <v>31735</v>
      </c>
      <c r="H30" s="363">
        <f t="shared" si="1"/>
        <v>0.99999999999999978</v>
      </c>
    </row>
    <row r="31" spans="1:8">
      <c r="A31" s="356"/>
      <c r="B31" s="357"/>
      <c r="C31" s="358"/>
      <c r="D31" s="358"/>
      <c r="E31" s="358"/>
      <c r="F31" s="358"/>
      <c r="G31" s="358"/>
    </row>
    <row r="32" spans="1:8">
      <c r="A32" s="28" t="s">
        <v>142</v>
      </c>
      <c r="G32" s="57" t="s">
        <v>12</v>
      </c>
    </row>
    <row r="33" spans="1:7">
      <c r="A33" s="550">
        <v>44005</v>
      </c>
      <c r="B33" s="550"/>
      <c r="G33" s="57" t="s">
        <v>90</v>
      </c>
    </row>
    <row r="38" spans="1:7">
      <c r="D38" s="342"/>
    </row>
  </sheetData>
  <mergeCells count="8">
    <mergeCell ref="A33:B33"/>
    <mergeCell ref="A2:H2"/>
    <mergeCell ref="A3:C3"/>
    <mergeCell ref="C4:G4"/>
    <mergeCell ref="H4:H6"/>
    <mergeCell ref="C5:D5"/>
    <mergeCell ref="E5:F5"/>
    <mergeCell ref="G5:G6"/>
  </mergeCells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κατά επαρχία και φύλο το 2020</vt:lpstr>
      <vt:lpstr>κατά επαρχία,  μήνα 2019,2020</vt:lpstr>
      <vt:lpstr>κατά φύλο, μήνα 2019,2020</vt:lpstr>
      <vt:lpstr>άνεργοι κατά μήνα 2007-2020</vt:lpstr>
      <vt:lpstr>δικ κατά μήν και κοιν 2019-2020</vt:lpstr>
      <vt:lpstr>δικ, ποσό πληρ. κατά μήνα 12-20</vt:lpstr>
      <vt:lpstr>άνεργοι κατά οικ. δραστ.1.2020</vt:lpstr>
      <vt:lpstr>άνεργοι κατά οικ. δραστ. 2.2020</vt:lpstr>
      <vt:lpstr>άνεργοι κατά οικ. δρστ. 3.2020</vt:lpstr>
      <vt:lpstr>άνεργοι κατά οικ. δραστ. 4.2020</vt:lpstr>
      <vt:lpstr>άνεργοι κατά οικ. δραστ. 5.2020</vt:lpstr>
      <vt:lpstr>άνεργοι κατά οικ. δρ. 6.2020</vt:lpstr>
      <vt:lpstr>άνεργοι κατά οικ. δρ. 7.2020</vt:lpstr>
      <vt:lpstr>άνεργοι κατά οικ. δρ. 8.20</vt:lpstr>
      <vt:lpstr>ανεργοι κατά οικ. δρ.9.20</vt:lpstr>
      <vt:lpstr>ανεργοι κατά οικ. δρ.10.20</vt:lpstr>
      <vt:lpstr>ανεργοι κατά οικ. δρ.11.20</vt:lpstr>
      <vt:lpstr>ανεργοι κατά οικ. δρ.12.20</vt:lpstr>
      <vt:lpstr>Sheet1</vt:lpstr>
      <vt:lpstr>'δικ, ποσό πληρ. κατά μήνα 12-20'!Print_Area</vt:lpstr>
      <vt:lpstr>'κατά επαρχία και φύλο το 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mailia</cp:lastModifiedBy>
  <cp:lastPrinted>2022-01-13T08:45:56Z</cp:lastPrinted>
  <dcterms:created xsi:type="dcterms:W3CDTF">1999-12-20T10:51:55Z</dcterms:created>
  <dcterms:modified xsi:type="dcterms:W3CDTF">2022-01-13T08:46:51Z</dcterms:modified>
</cp:coreProperties>
</file>